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ain_newmpc\Data\"/>
    </mc:Choice>
  </mc:AlternateContent>
  <bookViews>
    <workbookView xWindow="0" yWindow="0" windowWidth="13620" windowHeight="4160"/>
  </bookViews>
  <sheets>
    <sheet name="Info" sheetId="12" r:id="rId1"/>
    <sheet name="CropMarkets" sheetId="2" r:id="rId2"/>
    <sheet name="CropDem" sheetId="4" r:id="rId3"/>
    <sheet name="DemElasticity" sheetId="5" r:id="rId4"/>
    <sheet name="CropMinDem" sheetId="6" r:id="rId5"/>
    <sheet name="CropValue" sheetId="7" r:id="rId6"/>
    <sheet name="CropFarmValue" sheetId="8" r:id="rId7"/>
    <sheet name="CropTransport" sheetId="10" r:id="rId8"/>
    <sheet name="TransportCost" sheetId="11" r:id="rId9"/>
    <sheet name="TransportCostFormulas" sheetId="14" r:id="rId10"/>
    <sheet name="CropDemand" sheetId="3" r:id="rId11"/>
    <sheet name="NationalProd" sheetId="15" r:id="rId12"/>
    <sheet name="CountryStats" sheetId="16" r:id="rId13"/>
  </sheets>
  <externalReferences>
    <externalReference r:id="rId14"/>
  </externalReferences>
  <definedNames>
    <definedName name="_xlnm._FilterDatabase" localSheetId="10" hidden="1">CropDemand!$P$76:$Q$89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4" l="1"/>
  <c r="N34" i="4"/>
  <c r="G32" i="4"/>
  <c r="E32" i="4"/>
  <c r="K40" i="14" l="1"/>
  <c r="J39" i="14"/>
  <c r="J40" i="14"/>
  <c r="J41" i="14"/>
  <c r="J42" i="14"/>
  <c r="J43" i="14"/>
  <c r="K43" i="14"/>
  <c r="K42" i="14"/>
  <c r="K41" i="14"/>
  <c r="K39" i="14"/>
  <c r="J35" i="14"/>
  <c r="D129" i="3" l="1"/>
  <c r="D128" i="3"/>
  <c r="K23" i="14"/>
  <c r="K24" i="14" s="1"/>
  <c r="K35" i="14"/>
  <c r="K36" i="14" s="1"/>
  <c r="K33" i="14"/>
  <c r="K34" i="14" s="1"/>
  <c r="J23" i="14"/>
  <c r="K30" i="5"/>
  <c r="K29" i="5"/>
  <c r="K28" i="5"/>
  <c r="K27" i="5"/>
  <c r="K26" i="5"/>
  <c r="K25" i="5"/>
  <c r="K24" i="5"/>
  <c r="K23" i="5"/>
  <c r="L49" i="7"/>
  <c r="L47" i="7"/>
  <c r="L46" i="7"/>
  <c r="L45" i="7"/>
  <c r="L42" i="7"/>
  <c r="L40" i="7"/>
  <c r="L38" i="7"/>
  <c r="L37" i="7"/>
  <c r="L36" i="7"/>
  <c r="L33" i="7"/>
  <c r="L29" i="7"/>
  <c r="L28" i="7"/>
  <c r="L27" i="7"/>
  <c r="L24" i="7"/>
  <c r="K37" i="14"/>
  <c r="K38" i="14" s="1"/>
  <c r="K31" i="14"/>
  <c r="K32" i="14" s="1"/>
  <c r="K29" i="14"/>
  <c r="K30" i="14" s="1"/>
  <c r="K27" i="14"/>
  <c r="K28" i="14" s="1"/>
  <c r="K25" i="14"/>
  <c r="K26" i="14" s="1"/>
  <c r="J13" i="3"/>
  <c r="E113" i="3"/>
  <c r="E121" i="3"/>
  <c r="E125" i="3"/>
  <c r="E128" i="3"/>
  <c r="E129" i="3"/>
  <c r="D127" i="3"/>
  <c r="E127" i="3" s="1"/>
  <c r="D126" i="3"/>
  <c r="E126" i="3" s="1"/>
  <c r="D124" i="3"/>
  <c r="E124" i="3" s="1"/>
  <c r="D123" i="3"/>
  <c r="E123" i="3" s="1"/>
  <c r="D122" i="3"/>
  <c r="E122" i="3" s="1"/>
  <c r="D121" i="3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D112" i="3"/>
  <c r="E112" i="3" s="1"/>
  <c r="D111" i="3"/>
  <c r="E111" i="3" s="1"/>
  <c r="F83" i="3" l="1"/>
  <c r="N48" i="7"/>
  <c r="J48" i="7"/>
  <c r="E48" i="7"/>
  <c r="C48" i="7"/>
  <c r="K47" i="7"/>
  <c r="H47" i="7"/>
  <c r="K46" i="7"/>
  <c r="J46" i="7"/>
  <c r="H46" i="7"/>
  <c r="C46" i="7"/>
  <c r="K45" i="7"/>
  <c r="J45" i="7"/>
  <c r="H45" i="7"/>
  <c r="E45" i="7"/>
  <c r="C45" i="7"/>
  <c r="H44" i="7"/>
  <c r="N42" i="7"/>
  <c r="K42" i="7"/>
  <c r="J42" i="7"/>
  <c r="H42" i="7"/>
  <c r="E42" i="7"/>
  <c r="C42" i="7"/>
  <c r="N39" i="7"/>
  <c r="J39" i="7"/>
  <c r="E39" i="7"/>
  <c r="C39" i="7"/>
  <c r="K38" i="7"/>
  <c r="H38" i="7"/>
  <c r="K37" i="7"/>
  <c r="J37" i="7"/>
  <c r="H37" i="7"/>
  <c r="C37" i="7"/>
  <c r="K36" i="7"/>
  <c r="J36" i="7"/>
  <c r="H36" i="7"/>
  <c r="E36" i="7"/>
  <c r="C36" i="7"/>
  <c r="H35" i="7"/>
  <c r="N33" i="7"/>
  <c r="K33" i="7"/>
  <c r="J33" i="7"/>
  <c r="H33" i="7"/>
  <c r="E33" i="7"/>
  <c r="C33" i="7"/>
  <c r="C49" i="7"/>
  <c r="D49" i="7"/>
  <c r="E49" i="7"/>
  <c r="F49" i="7"/>
  <c r="G49" i="7"/>
  <c r="H49" i="7"/>
  <c r="I49" i="7"/>
  <c r="J49" i="7"/>
  <c r="K49" i="7"/>
  <c r="M49" i="7"/>
  <c r="N49" i="7"/>
  <c r="C40" i="7"/>
  <c r="D40" i="7"/>
  <c r="E40" i="7"/>
  <c r="F40" i="7"/>
  <c r="G40" i="7"/>
  <c r="H40" i="7"/>
  <c r="I40" i="7"/>
  <c r="J40" i="7"/>
  <c r="K40" i="7"/>
  <c r="M40" i="7"/>
  <c r="N40" i="7"/>
  <c r="N42" i="4"/>
  <c r="N43" i="4"/>
  <c r="N44" i="4"/>
  <c r="N45" i="4"/>
  <c r="N46" i="4"/>
  <c r="N47" i="4"/>
  <c r="N48" i="4"/>
  <c r="N41" i="4"/>
  <c r="N32" i="4"/>
  <c r="J42" i="4"/>
  <c r="J43" i="4"/>
  <c r="J44" i="4"/>
  <c r="J45" i="4"/>
  <c r="J46" i="4"/>
  <c r="J47" i="4"/>
  <c r="J48" i="4"/>
  <c r="J41" i="4"/>
  <c r="I42" i="4"/>
  <c r="I43" i="4"/>
  <c r="I44" i="4"/>
  <c r="I45" i="4"/>
  <c r="I46" i="4"/>
  <c r="I47" i="4"/>
  <c r="I48" i="4"/>
  <c r="I41" i="4"/>
  <c r="H42" i="4"/>
  <c r="H43" i="4"/>
  <c r="H44" i="4"/>
  <c r="H45" i="4"/>
  <c r="H46" i="4"/>
  <c r="H47" i="4"/>
  <c r="H48" i="4"/>
  <c r="H41" i="4"/>
  <c r="G42" i="4"/>
  <c r="G43" i="4"/>
  <c r="G44" i="4"/>
  <c r="G45" i="4"/>
  <c r="G46" i="4"/>
  <c r="G47" i="4"/>
  <c r="G48" i="4"/>
  <c r="G41" i="4"/>
  <c r="F42" i="4"/>
  <c r="F43" i="4"/>
  <c r="F44" i="4"/>
  <c r="F45" i="4"/>
  <c r="F46" i="4"/>
  <c r="F47" i="4"/>
  <c r="F48" i="4"/>
  <c r="F41" i="4"/>
  <c r="E42" i="4"/>
  <c r="E43" i="4"/>
  <c r="E44" i="4"/>
  <c r="E45" i="4"/>
  <c r="E46" i="4"/>
  <c r="E47" i="4"/>
  <c r="E48" i="4"/>
  <c r="E41" i="4"/>
  <c r="D42" i="4"/>
  <c r="D43" i="4"/>
  <c r="D44" i="4"/>
  <c r="D45" i="4"/>
  <c r="D46" i="4"/>
  <c r="D47" i="4"/>
  <c r="D48" i="4"/>
  <c r="D41" i="4"/>
  <c r="C42" i="4"/>
  <c r="C43" i="4"/>
  <c r="C44" i="4"/>
  <c r="C45" i="4"/>
  <c r="C46" i="4"/>
  <c r="C47" i="4"/>
  <c r="C48" i="4"/>
  <c r="C41" i="4"/>
  <c r="C32" i="4"/>
  <c r="T15" i="4"/>
  <c r="L48" i="4" s="1"/>
  <c r="T14" i="4"/>
  <c r="L47" i="4" s="1"/>
  <c r="T13" i="4"/>
  <c r="L46" i="4" s="1"/>
  <c r="T12" i="4"/>
  <c r="L45" i="4" s="1"/>
  <c r="T11" i="4"/>
  <c r="L44" i="4" s="1"/>
  <c r="T10" i="4"/>
  <c r="L43" i="4" s="1"/>
  <c r="T9" i="4"/>
  <c r="L42" i="4" s="1"/>
  <c r="T8" i="4"/>
  <c r="L41" i="4" s="1"/>
  <c r="N36" i="4"/>
  <c r="N54" i="4" s="1"/>
  <c r="C50" i="4"/>
  <c r="K45" i="4" l="1"/>
  <c r="K41" i="4"/>
  <c r="K46" i="4"/>
  <c r="K42" i="4"/>
  <c r="K48" i="4"/>
  <c r="K44" i="4"/>
  <c r="K47" i="4"/>
  <c r="K43" i="4"/>
  <c r="AJ13" i="3"/>
  <c r="AJ14" i="3"/>
  <c r="AJ15" i="3"/>
  <c r="AJ16" i="3"/>
  <c r="AJ17" i="3"/>
  <c r="AJ12" i="3"/>
  <c r="E25" i="14" l="1"/>
  <c r="J25" i="14"/>
  <c r="B36" i="11" l="1"/>
  <c r="B35" i="11"/>
  <c r="B32" i="11"/>
  <c r="B31" i="11"/>
  <c r="B28" i="11"/>
  <c r="B27" i="11"/>
  <c r="B24" i="11"/>
  <c r="B23" i="11"/>
  <c r="B54" i="14" l="1"/>
  <c r="B55" i="14"/>
  <c r="B44" i="14" s="1"/>
  <c r="B56" i="14"/>
  <c r="B57" i="14"/>
  <c r="B58" i="14"/>
  <c r="B60" i="14"/>
  <c r="D32" i="4" l="1"/>
  <c r="K13" i="3"/>
  <c r="L13" i="3"/>
  <c r="M13" i="3"/>
  <c r="N13" i="3"/>
  <c r="O13" i="3"/>
  <c r="P13" i="3"/>
  <c r="Q13" i="3"/>
  <c r="R13" i="3"/>
  <c r="S13" i="3"/>
  <c r="T13" i="3"/>
  <c r="K14" i="3"/>
  <c r="L14" i="3"/>
  <c r="M14" i="3"/>
  <c r="N14" i="3"/>
  <c r="O14" i="3"/>
  <c r="P14" i="3"/>
  <c r="Q14" i="3"/>
  <c r="R14" i="3"/>
  <c r="S14" i="3"/>
  <c r="T14" i="3"/>
  <c r="K15" i="3"/>
  <c r="L15" i="3"/>
  <c r="M15" i="3"/>
  <c r="N15" i="3"/>
  <c r="O15" i="3"/>
  <c r="P15" i="3"/>
  <c r="Q15" i="3"/>
  <c r="R15" i="3"/>
  <c r="S15" i="3"/>
  <c r="T15" i="3"/>
  <c r="K16" i="3"/>
  <c r="L16" i="3"/>
  <c r="M16" i="3"/>
  <c r="N16" i="3"/>
  <c r="O16" i="3"/>
  <c r="P16" i="3"/>
  <c r="Q16" i="3"/>
  <c r="R16" i="3"/>
  <c r="S16" i="3"/>
  <c r="T16" i="3"/>
  <c r="K17" i="3"/>
  <c r="L17" i="3"/>
  <c r="M17" i="3"/>
  <c r="N17" i="3"/>
  <c r="O17" i="3"/>
  <c r="P17" i="3"/>
  <c r="Q17" i="3"/>
  <c r="R17" i="3"/>
  <c r="S17" i="3"/>
  <c r="T17" i="3"/>
  <c r="K18" i="3"/>
  <c r="L18" i="3"/>
  <c r="M18" i="3"/>
  <c r="N18" i="3"/>
  <c r="O18" i="3"/>
  <c r="P18" i="3"/>
  <c r="Q18" i="3"/>
  <c r="R18" i="3"/>
  <c r="S18" i="3"/>
  <c r="T18" i="3"/>
  <c r="K19" i="3"/>
  <c r="L19" i="3"/>
  <c r="M19" i="3"/>
  <c r="N19" i="3"/>
  <c r="O19" i="3"/>
  <c r="P19" i="3"/>
  <c r="Q19" i="3"/>
  <c r="R19" i="3"/>
  <c r="S19" i="3"/>
  <c r="T19" i="3"/>
  <c r="K20" i="3"/>
  <c r="L20" i="3"/>
  <c r="M20" i="3"/>
  <c r="N20" i="3"/>
  <c r="O20" i="3"/>
  <c r="P20" i="3"/>
  <c r="Q20" i="3"/>
  <c r="R20" i="3"/>
  <c r="S20" i="3"/>
  <c r="T20" i="3"/>
  <c r="J19" i="3"/>
  <c r="J20" i="3"/>
  <c r="J14" i="3"/>
  <c r="J15" i="3"/>
  <c r="J16" i="3"/>
  <c r="J17" i="3"/>
  <c r="J18" i="3"/>
  <c r="J24" i="7"/>
  <c r="D50" i="4" l="1"/>
  <c r="B24" i="5"/>
  <c r="C24" i="5"/>
  <c r="D24" i="5"/>
  <c r="E24" i="5"/>
  <c r="F24" i="5"/>
  <c r="G24" i="5"/>
  <c r="H24" i="5"/>
  <c r="I24" i="5"/>
  <c r="J24" i="5"/>
  <c r="L24" i="5"/>
  <c r="M24" i="5"/>
  <c r="B25" i="5"/>
  <c r="C25" i="5"/>
  <c r="D25" i="5"/>
  <c r="E25" i="5"/>
  <c r="F25" i="5"/>
  <c r="G25" i="5"/>
  <c r="H25" i="5"/>
  <c r="I25" i="5"/>
  <c r="J25" i="5"/>
  <c r="L25" i="5"/>
  <c r="M25" i="5"/>
  <c r="B26" i="5"/>
  <c r="C26" i="5"/>
  <c r="D26" i="5"/>
  <c r="E26" i="5"/>
  <c r="F26" i="5"/>
  <c r="G26" i="5"/>
  <c r="H26" i="5"/>
  <c r="I26" i="5"/>
  <c r="J26" i="5"/>
  <c r="L26" i="5"/>
  <c r="M26" i="5"/>
  <c r="B27" i="5"/>
  <c r="C27" i="5"/>
  <c r="D27" i="5"/>
  <c r="E27" i="5"/>
  <c r="F27" i="5"/>
  <c r="G27" i="5"/>
  <c r="H27" i="5"/>
  <c r="I27" i="5"/>
  <c r="J27" i="5"/>
  <c r="L27" i="5"/>
  <c r="M27" i="5"/>
  <c r="B28" i="5"/>
  <c r="C28" i="5"/>
  <c r="D28" i="5"/>
  <c r="E28" i="5"/>
  <c r="F28" i="5"/>
  <c r="G28" i="5"/>
  <c r="H28" i="5"/>
  <c r="I28" i="5"/>
  <c r="J28" i="5"/>
  <c r="L28" i="5"/>
  <c r="M28" i="5"/>
  <c r="B29" i="5"/>
  <c r="C29" i="5"/>
  <c r="D29" i="5"/>
  <c r="E29" i="5"/>
  <c r="F29" i="5"/>
  <c r="G29" i="5"/>
  <c r="H29" i="5"/>
  <c r="I29" i="5"/>
  <c r="J29" i="5"/>
  <c r="L29" i="5"/>
  <c r="M29" i="5"/>
  <c r="B30" i="5"/>
  <c r="C30" i="5"/>
  <c r="D30" i="5"/>
  <c r="E30" i="5"/>
  <c r="F30" i="5"/>
  <c r="G30" i="5"/>
  <c r="H30" i="5"/>
  <c r="I30" i="5"/>
  <c r="J30" i="5"/>
  <c r="L30" i="5"/>
  <c r="M30" i="5"/>
  <c r="C23" i="5"/>
  <c r="D23" i="5"/>
  <c r="E23" i="5"/>
  <c r="F23" i="5"/>
  <c r="G23" i="5"/>
  <c r="H23" i="5"/>
  <c r="I23" i="5"/>
  <c r="J23" i="5"/>
  <c r="L23" i="5"/>
  <c r="M23" i="5"/>
  <c r="B23" i="5"/>
  <c r="G56" i="14" l="1"/>
  <c r="G33" i="14" s="1"/>
  <c r="D56" i="14"/>
  <c r="D27" i="14" s="1"/>
  <c r="M49" i="14"/>
  <c r="I49" i="14"/>
  <c r="G49" i="14"/>
  <c r="F49" i="14"/>
  <c r="E49" i="14"/>
  <c r="D49" i="14"/>
  <c r="C49" i="14"/>
  <c r="B49" i="14"/>
  <c r="F48" i="14"/>
  <c r="E48" i="14"/>
  <c r="D48" i="14"/>
  <c r="C48" i="14"/>
  <c r="B48" i="14"/>
  <c r="M47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D46" i="14"/>
  <c r="C46" i="14"/>
  <c r="B46" i="14"/>
  <c r="D45" i="14"/>
  <c r="B45" i="14"/>
  <c r="M44" i="14"/>
  <c r="I44" i="14"/>
  <c r="H44" i="14"/>
  <c r="G44" i="14"/>
  <c r="F44" i="14"/>
  <c r="E44" i="14"/>
  <c r="D44" i="14"/>
  <c r="C44" i="14"/>
  <c r="M37" i="14"/>
  <c r="J37" i="14"/>
  <c r="J38" i="14" s="1"/>
  <c r="I37" i="14"/>
  <c r="H37" i="14"/>
  <c r="G37" i="14"/>
  <c r="F37" i="14"/>
  <c r="E37" i="14"/>
  <c r="D37" i="14"/>
  <c r="C37" i="14"/>
  <c r="B37" i="14"/>
  <c r="M35" i="14"/>
  <c r="J36" i="14"/>
  <c r="I35" i="14"/>
  <c r="H35" i="14"/>
  <c r="G35" i="14"/>
  <c r="F35" i="14"/>
  <c r="E35" i="14"/>
  <c r="D35" i="14"/>
  <c r="C35" i="14"/>
  <c r="B35" i="14"/>
  <c r="M33" i="14"/>
  <c r="J33" i="14"/>
  <c r="J34" i="14" s="1"/>
  <c r="I33" i="14"/>
  <c r="H33" i="14"/>
  <c r="F33" i="14"/>
  <c r="E33" i="14"/>
  <c r="D33" i="14"/>
  <c r="C33" i="14"/>
  <c r="B33" i="14"/>
  <c r="M31" i="14"/>
  <c r="J31" i="14"/>
  <c r="J32" i="14" s="1"/>
  <c r="I31" i="14"/>
  <c r="H31" i="14"/>
  <c r="G31" i="14"/>
  <c r="F31" i="14"/>
  <c r="E31" i="14"/>
  <c r="D31" i="14"/>
  <c r="C31" i="14"/>
  <c r="B31" i="14"/>
  <c r="M29" i="14"/>
  <c r="J29" i="14"/>
  <c r="J30" i="14" s="1"/>
  <c r="I29" i="14"/>
  <c r="H29" i="14"/>
  <c r="G29" i="14"/>
  <c r="F29" i="14"/>
  <c r="E29" i="14"/>
  <c r="D29" i="14"/>
  <c r="C29" i="14"/>
  <c r="B29" i="14"/>
  <c r="M27" i="14"/>
  <c r="J27" i="14"/>
  <c r="J28" i="14" s="1"/>
  <c r="I27" i="14"/>
  <c r="H27" i="14"/>
  <c r="F27" i="14"/>
  <c r="E27" i="14"/>
  <c r="C27" i="14"/>
  <c r="B27" i="14"/>
  <c r="J26" i="14"/>
  <c r="M25" i="14"/>
  <c r="I25" i="14"/>
  <c r="H25" i="14"/>
  <c r="G25" i="14"/>
  <c r="F25" i="14"/>
  <c r="D25" i="14"/>
  <c r="C25" i="14"/>
  <c r="B25" i="14"/>
  <c r="M23" i="14"/>
  <c r="J24" i="14"/>
  <c r="I23" i="14"/>
  <c r="H23" i="14"/>
  <c r="F23" i="14"/>
  <c r="E23" i="14"/>
  <c r="D23" i="14"/>
  <c r="C23" i="14"/>
  <c r="B23" i="14"/>
  <c r="K29" i="7"/>
  <c r="K28" i="7"/>
  <c r="K27" i="7"/>
  <c r="K24" i="7"/>
  <c r="E24" i="7"/>
  <c r="E30" i="7"/>
  <c r="E27" i="7"/>
  <c r="AF41" i="3"/>
  <c r="AF42" i="3"/>
  <c r="AF43" i="3"/>
  <c r="AF44" i="3"/>
  <c r="AF40" i="3"/>
  <c r="AH15" i="3"/>
  <c r="AH16" i="3"/>
  <c r="AH17" i="3"/>
  <c r="AH14" i="3"/>
  <c r="AB14" i="3"/>
  <c r="G45" i="14" l="1"/>
  <c r="G23" i="14"/>
  <c r="G27" i="14"/>
  <c r="C24" i="7" l="1"/>
  <c r="H24" i="7"/>
  <c r="N24" i="7"/>
  <c r="H26" i="7"/>
  <c r="C27" i="7"/>
  <c r="H27" i="7"/>
  <c r="J27" i="7"/>
  <c r="C28" i="7"/>
  <c r="H28" i="7"/>
  <c r="J28" i="7"/>
  <c r="H29" i="7"/>
  <c r="C30" i="7"/>
  <c r="J30" i="7"/>
  <c r="N30" i="7"/>
  <c r="M8" i="4"/>
  <c r="M9" i="4"/>
  <c r="K33" i="4" s="1"/>
  <c r="M10" i="4"/>
  <c r="M11" i="4"/>
  <c r="M12" i="4"/>
  <c r="M13" i="4"/>
  <c r="M14" i="4"/>
  <c r="M15" i="4"/>
  <c r="H32" i="4"/>
  <c r="I32" i="4"/>
  <c r="J32" i="4"/>
  <c r="C33" i="4"/>
  <c r="D33" i="4"/>
  <c r="E33" i="4"/>
  <c r="F33" i="4"/>
  <c r="G33" i="4"/>
  <c r="H33" i="4"/>
  <c r="I33" i="4"/>
  <c r="J33" i="4"/>
  <c r="N33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N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N37" i="4"/>
  <c r="C38" i="4"/>
  <c r="D38" i="4"/>
  <c r="E38" i="4"/>
  <c r="F38" i="4"/>
  <c r="G38" i="4"/>
  <c r="H38" i="4"/>
  <c r="I38" i="4"/>
  <c r="J38" i="4"/>
  <c r="N38" i="4"/>
  <c r="C39" i="4"/>
  <c r="D39" i="4"/>
  <c r="E39" i="4"/>
  <c r="F39" i="4"/>
  <c r="G39" i="4"/>
  <c r="H39" i="4"/>
  <c r="I39" i="4"/>
  <c r="J39" i="4"/>
  <c r="N39" i="4"/>
  <c r="Y12" i="3"/>
  <c r="Z12" i="3"/>
  <c r="AA12" i="3"/>
  <c r="AB12" i="3"/>
  <c r="AC12" i="3"/>
  <c r="AE12" i="3"/>
  <c r="AF12" i="3"/>
  <c r="AG12" i="3"/>
  <c r="AH12" i="3"/>
  <c r="AI12" i="3"/>
  <c r="AL12" i="3"/>
  <c r="AM12" i="3"/>
  <c r="Y13" i="3"/>
  <c r="Z13" i="3"/>
  <c r="AA13" i="3"/>
  <c r="AB13" i="3"/>
  <c r="AC13" i="3"/>
  <c r="AE13" i="3"/>
  <c r="AF13" i="3"/>
  <c r="AG13" i="3"/>
  <c r="AH13" i="3"/>
  <c r="AI13" i="3"/>
  <c r="AL13" i="3"/>
  <c r="AM13" i="3"/>
  <c r="Y14" i="3"/>
  <c r="Z14" i="3"/>
  <c r="AA14" i="3"/>
  <c r="AC14" i="3"/>
  <c r="AE14" i="3"/>
  <c r="AF14" i="3"/>
  <c r="AG14" i="3"/>
  <c r="AI14" i="3"/>
  <c r="AL14" i="3"/>
  <c r="AM14" i="3"/>
  <c r="Y15" i="3"/>
  <c r="Z15" i="3"/>
  <c r="AA15" i="3"/>
  <c r="AB15" i="3"/>
  <c r="AC15" i="3"/>
  <c r="AE15" i="3"/>
  <c r="AF15" i="3"/>
  <c r="AG15" i="3"/>
  <c r="AI15" i="3"/>
  <c r="AL15" i="3"/>
  <c r="AM15" i="3"/>
  <c r="Y16" i="3"/>
  <c r="Z16" i="3"/>
  <c r="AA16" i="3"/>
  <c r="AB16" i="3"/>
  <c r="AC16" i="3"/>
  <c r="AE16" i="3"/>
  <c r="AF16" i="3"/>
  <c r="AG16" i="3"/>
  <c r="AI16" i="3"/>
  <c r="AL16" i="3"/>
  <c r="AM16" i="3"/>
  <c r="Y17" i="3"/>
  <c r="Z17" i="3"/>
  <c r="AA17" i="3"/>
  <c r="AB17" i="3"/>
  <c r="AC17" i="3"/>
  <c r="AE17" i="3"/>
  <c r="AF17" i="3"/>
  <c r="AG17" i="3"/>
  <c r="AI17" i="3"/>
  <c r="AL17" i="3"/>
  <c r="AM17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C45" i="3"/>
  <c r="D45" i="3"/>
  <c r="E45" i="3"/>
  <c r="F45" i="3"/>
  <c r="B72" i="3"/>
  <c r="C72" i="3"/>
  <c r="B76" i="3" s="1"/>
  <c r="B73" i="3"/>
  <c r="C73" i="3"/>
  <c r="B77" i="3" s="1"/>
  <c r="B74" i="3"/>
  <c r="C74" i="3"/>
  <c r="B78" i="3" s="1"/>
  <c r="F84" i="3"/>
  <c r="F85" i="3"/>
  <c r="F86" i="3"/>
  <c r="F87" i="3"/>
  <c r="F88" i="3"/>
  <c r="F89" i="3"/>
  <c r="F90" i="3"/>
  <c r="F91" i="3"/>
  <c r="F92" i="3"/>
  <c r="Q92" i="3"/>
  <c r="V92" i="3"/>
  <c r="Y92" i="3"/>
  <c r="AD92" i="3"/>
  <c r="F93" i="3"/>
  <c r="Q93" i="3"/>
  <c r="U93" i="3"/>
  <c r="U98" i="3" s="1"/>
  <c r="V93" i="3"/>
  <c r="Y93" i="3"/>
  <c r="AD93" i="3"/>
  <c r="F94" i="3"/>
  <c r="Q94" i="3"/>
  <c r="V94" i="3"/>
  <c r="Y94" i="3"/>
  <c r="AD94" i="3"/>
  <c r="F95" i="3"/>
  <c r="Q95" i="3"/>
  <c r="R95" i="3"/>
  <c r="R98" i="3" s="1"/>
  <c r="V95" i="3"/>
  <c r="Y95" i="3"/>
  <c r="AD95" i="3"/>
  <c r="F96" i="3"/>
  <c r="Q96" i="3"/>
  <c r="V96" i="3"/>
  <c r="Y96" i="3"/>
  <c r="AD96" i="3"/>
  <c r="F97" i="3"/>
  <c r="Q97" i="3"/>
  <c r="V97" i="3"/>
  <c r="Y97" i="3"/>
  <c r="AD97" i="3"/>
  <c r="F98" i="3"/>
  <c r="S98" i="3"/>
  <c r="T98" i="3"/>
  <c r="W98" i="3"/>
  <c r="X98" i="3"/>
  <c r="Z98" i="3"/>
  <c r="AA98" i="3"/>
  <c r="AB98" i="3"/>
  <c r="AC98" i="3"/>
  <c r="AE98" i="3"/>
  <c r="F99" i="3"/>
  <c r="F100" i="3"/>
  <c r="F101" i="3"/>
  <c r="L37" i="4" l="1"/>
  <c r="L55" i="4" s="1"/>
  <c r="K51" i="4"/>
  <c r="L33" i="4"/>
  <c r="L51" i="4" s="1"/>
  <c r="K36" i="4"/>
  <c r="K54" i="4" s="1"/>
  <c r="L36" i="4"/>
  <c r="L54" i="4" s="1"/>
  <c r="K32" i="4"/>
  <c r="K50" i="4" s="1"/>
  <c r="L32" i="4"/>
  <c r="L50" i="4" s="1"/>
  <c r="L39" i="4"/>
  <c r="L57" i="4" s="1"/>
  <c r="M53" i="4"/>
  <c r="L35" i="4"/>
  <c r="L53" i="4" s="1"/>
  <c r="K38" i="4"/>
  <c r="K56" i="4" s="1"/>
  <c r="L38" i="4"/>
  <c r="L56" i="4" s="1"/>
  <c r="M52" i="4"/>
  <c r="L34" i="4"/>
  <c r="L52" i="4" s="1"/>
  <c r="H57" i="4"/>
  <c r="D57" i="4"/>
  <c r="F50" i="4"/>
  <c r="H50" i="4"/>
  <c r="G53" i="4"/>
  <c r="I56" i="4"/>
  <c r="I52" i="4"/>
  <c r="C54" i="4"/>
  <c r="D53" i="4"/>
  <c r="H52" i="4"/>
  <c r="M57" i="4"/>
  <c r="J56" i="4"/>
  <c r="G52" i="4"/>
  <c r="I57" i="4"/>
  <c r="I53" i="4"/>
  <c r="F56" i="4"/>
  <c r="F52" i="4"/>
  <c r="E57" i="4"/>
  <c r="M55" i="4"/>
  <c r="C52" i="4"/>
  <c r="G57" i="4"/>
  <c r="K34" i="4"/>
  <c r="N51" i="4"/>
  <c r="C57" i="4"/>
  <c r="G56" i="4"/>
  <c r="N55" i="4"/>
  <c r="H55" i="4"/>
  <c r="E55" i="4"/>
  <c r="J53" i="4"/>
  <c r="I55" i="4"/>
  <c r="H51" i="4"/>
  <c r="F53" i="4"/>
  <c r="C53" i="4"/>
  <c r="C56" i="4"/>
  <c r="I54" i="4"/>
  <c r="G51" i="4"/>
  <c r="I50" i="4"/>
  <c r="E50" i="4"/>
  <c r="J52" i="4"/>
  <c r="H54" i="4"/>
  <c r="F51" i="4"/>
  <c r="F57" i="4"/>
  <c r="H56" i="4"/>
  <c r="E56" i="4"/>
  <c r="G54" i="4"/>
  <c r="E51" i="4"/>
  <c r="G50" i="4"/>
  <c r="E53" i="4"/>
  <c r="J55" i="4"/>
  <c r="G55" i="4"/>
  <c r="D55" i="4"/>
  <c r="I51" i="4"/>
  <c r="F54" i="4"/>
  <c r="D51" i="4"/>
  <c r="J50" i="4"/>
  <c r="H53" i="4"/>
  <c r="N56" i="4"/>
  <c r="D56" i="4"/>
  <c r="D52" i="4"/>
  <c r="J51" i="4"/>
  <c r="J54" i="4"/>
  <c r="N57" i="4"/>
  <c r="E54" i="4"/>
  <c r="C51" i="4"/>
  <c r="N53" i="4"/>
  <c r="N52" i="4"/>
  <c r="E52" i="4"/>
  <c r="F55" i="4"/>
  <c r="C55" i="4"/>
  <c r="J57" i="4"/>
  <c r="D54" i="4"/>
  <c r="N50" i="4"/>
  <c r="AF18" i="3"/>
  <c r="AA18" i="3"/>
  <c r="AL18" i="3"/>
  <c r="AJ18" i="3"/>
  <c r="K37" i="4"/>
  <c r="Q98" i="3"/>
  <c r="AM18" i="3"/>
  <c r="AG18" i="3"/>
  <c r="AI18" i="3"/>
  <c r="AE18" i="3"/>
  <c r="Z18" i="3"/>
  <c r="AC18" i="3"/>
  <c r="Y98" i="3"/>
  <c r="AB18" i="3"/>
  <c r="AH18" i="3"/>
  <c r="Y18" i="3"/>
  <c r="V98" i="3"/>
  <c r="AD98" i="3"/>
  <c r="K39" i="4"/>
  <c r="K35" i="4"/>
  <c r="K53" i="4" l="1"/>
  <c r="K52" i="4"/>
  <c r="M51" i="4"/>
  <c r="K57" i="4"/>
  <c r="M56" i="4"/>
  <c r="M50" i="4"/>
  <c r="M54" i="4"/>
  <c r="K55" i="4"/>
</calcChain>
</file>

<file path=xl/sharedStrings.xml><?xml version="1.0" encoding="utf-8"?>
<sst xmlns="http://schemas.openxmlformats.org/spreadsheetml/2006/main" count="1152" uniqueCount="358">
  <si>
    <t>ExternalMarket</t>
  </si>
  <si>
    <t>World</t>
  </si>
  <si>
    <t>CmWorldMarket</t>
  </si>
  <si>
    <t>Zimbabwe</t>
  </si>
  <si>
    <t>CmZimbabwe</t>
  </si>
  <si>
    <t>Zambia</t>
  </si>
  <si>
    <t>CmZambia</t>
  </si>
  <si>
    <t>Tanzania</t>
  </si>
  <si>
    <t>CmTanzania</t>
  </si>
  <si>
    <t>Namibia</t>
  </si>
  <si>
    <t>CmNamibia</t>
  </si>
  <si>
    <t>Mozambique</t>
  </si>
  <si>
    <t>CmMozambique</t>
  </si>
  <si>
    <t>Malawi</t>
  </si>
  <si>
    <t>CmMalawi</t>
  </si>
  <si>
    <t>Botswana</t>
  </si>
  <si>
    <t>CmBotswana</t>
  </si>
  <si>
    <t>Angola</t>
  </si>
  <si>
    <t>CmAngola</t>
  </si>
  <si>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</si>
  <si>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</si>
  <si>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</si>
  <si>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</si>
  <si>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</si>
  <si>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</si>
  <si>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</si>
  <si>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RukuruRumphi</t>
  </si>
  <si>
    <t>KafueUp</t>
  </si>
  <si>
    <t>Tete</t>
  </si>
  <si>
    <t>ZambeziDelta</t>
  </si>
  <si>
    <t>CahoraBassa</t>
  </si>
  <si>
    <t>Luanginga</t>
  </si>
  <si>
    <t>FzTete</t>
  </si>
  <si>
    <t>Luangwa</t>
  </si>
  <si>
    <t>FzTeteZIM</t>
  </si>
  <si>
    <t>KafueFlat</t>
  </si>
  <si>
    <t>FzLowerShire</t>
  </si>
  <si>
    <t>Rumakali</t>
  </si>
  <si>
    <t>Average</t>
  </si>
  <si>
    <t>FzKaribaBOT</t>
  </si>
  <si>
    <t>Kariba</t>
  </si>
  <si>
    <t>RnZimbabwe</t>
  </si>
  <si>
    <t>FzKariba</t>
  </si>
  <si>
    <t>LakeMalawi</t>
  </si>
  <si>
    <t>RnZambia</t>
  </si>
  <si>
    <t>FzCuando</t>
  </si>
  <si>
    <t>Songwe</t>
  </si>
  <si>
    <t>RnTanzania</t>
  </si>
  <si>
    <t>FzLakeMalawiTAZ</t>
  </si>
  <si>
    <t>Harare</t>
  </si>
  <si>
    <t>RnMozambique</t>
  </si>
  <si>
    <t>FzLakeMalawiMLW</t>
  </si>
  <si>
    <t>Cuando</t>
  </si>
  <si>
    <t>RnMalawi</t>
  </si>
  <si>
    <t>FzKafueFlat</t>
  </si>
  <si>
    <t>KafueGorgeLow</t>
  </si>
  <si>
    <t>RnAngola</t>
  </si>
  <si>
    <t>FzKafueUp</t>
  </si>
  <si>
    <t>Kabompo</t>
  </si>
  <si>
    <t>Potato</t>
  </si>
  <si>
    <t>Groundnut</t>
  </si>
  <si>
    <t>WinMaize</t>
  </si>
  <si>
    <t>Cassava</t>
  </si>
  <si>
    <t>Stimulants</t>
  </si>
  <si>
    <t>Soybeans</t>
  </si>
  <si>
    <t>Beans</t>
  </si>
  <si>
    <t>Sorghum</t>
  </si>
  <si>
    <t>Fruits</t>
  </si>
  <si>
    <t>WinRice</t>
  </si>
  <si>
    <t>SumRice</t>
  </si>
  <si>
    <t>Sugarcane</t>
  </si>
  <si>
    <t>Vegetables</t>
  </si>
  <si>
    <t>SumMaize</t>
  </si>
  <si>
    <t>WinWheat</t>
  </si>
  <si>
    <t>Obs yield (%)</t>
  </si>
  <si>
    <t>FzDelta</t>
  </si>
  <si>
    <t>BatokaGorge</t>
  </si>
  <si>
    <t>FzLuanginga</t>
  </si>
  <si>
    <t>KafueGorgeUp</t>
  </si>
  <si>
    <t>FzLuangwa</t>
  </si>
  <si>
    <t>LakeMalawiDown</t>
  </si>
  <si>
    <t>FzHarare</t>
  </si>
  <si>
    <t>Lungue</t>
  </si>
  <si>
    <t>FzKabompo</t>
  </si>
  <si>
    <t>MphandaNkuwa</t>
  </si>
  <si>
    <t>FzLungue</t>
  </si>
  <si>
    <t>Baroste</t>
  </si>
  <si>
    <t>FzBaroste</t>
  </si>
  <si>
    <t>Mupata</t>
  </si>
  <si>
    <t>FzMupata</t>
  </si>
  <si>
    <t>Kholombidzo</t>
  </si>
  <si>
    <t>Total Demand Index</t>
  </si>
  <si>
    <t>Total Demand</t>
  </si>
  <si>
    <t>FzUpperZambezi</t>
  </si>
  <si>
    <t>UpperZambezi</t>
  </si>
  <si>
    <t>Roots &amp; Tubers</t>
  </si>
  <si>
    <t>Irrigated (ha)</t>
  </si>
  <si>
    <t>Rainfed (net ha)</t>
  </si>
  <si>
    <t>Rainfed(ha)</t>
  </si>
  <si>
    <t>nfzone</t>
  </si>
  <si>
    <t>ncatch</t>
  </si>
  <si>
    <t>corrected to match exactly 5.2 Mio ha</t>
  </si>
  <si>
    <t>(in harvested area)</t>
  </si>
  <si>
    <t>https://harvestchoice.org/products/data</t>
  </si>
  <si>
    <t>IFPRI data</t>
  </si>
  <si>
    <t>$/ha</t>
  </si>
  <si>
    <t>Culture</t>
  </si>
  <si>
    <t>growth rate (%/year)</t>
  </si>
  <si>
    <t>Total-2015</t>
  </si>
  <si>
    <t>Pulses</t>
  </si>
  <si>
    <t>oilseeds-2015</t>
  </si>
  <si>
    <t>rice-2015</t>
  </si>
  <si>
    <t>vegetable</t>
  </si>
  <si>
    <t>sugarcane</t>
  </si>
  <si>
    <t>stimulants</t>
  </si>
  <si>
    <t>roots</t>
  </si>
  <si>
    <t>rice</t>
  </si>
  <si>
    <t>pulses</t>
  </si>
  <si>
    <t>oilseeds</t>
  </si>
  <si>
    <t>maize</t>
  </si>
  <si>
    <t>fruits</t>
  </si>
  <si>
    <t>cereals</t>
  </si>
  <si>
    <t>cassava</t>
  </si>
  <si>
    <t>othergrain-2015</t>
  </si>
  <si>
    <t>Cereals</t>
  </si>
  <si>
    <t>cotton-2015</t>
  </si>
  <si>
    <t>maize-2015</t>
  </si>
  <si>
    <t>Total Demand (mio t)</t>
  </si>
  <si>
    <t>roots-2015</t>
  </si>
  <si>
    <t>area (1000ha)</t>
  </si>
  <si>
    <t>Oilseeds</t>
  </si>
  <si>
    <t>Fruits &amp; Vegetables</t>
  </si>
  <si>
    <t>sub sahara website</t>
  </si>
  <si>
    <t>sub sahara p 78</t>
  </si>
  <si>
    <t>other grain</t>
  </si>
  <si>
    <t>wheat</t>
  </si>
  <si>
    <t xml:space="preserve">growth rate  (%) </t>
  </si>
  <si>
    <t>othergrain</t>
  </si>
  <si>
    <t>RELATIVE CHANGES</t>
  </si>
  <si>
    <t>ratio</t>
  </si>
  <si>
    <t>https://www.ifpri.org/publication/impact-projections-demand-agricultural-products-extended-country-level-results-2017-gfpr</t>
  </si>
  <si>
    <t>FUTURE DEMANDS (IFPRI IMPACT DATABASE)</t>
  </si>
  <si>
    <t>sugarcane-2015</t>
  </si>
  <si>
    <t>IrrZimbabwe</t>
  </si>
  <si>
    <t>IrrZambia</t>
  </si>
  <si>
    <t>IrrTanzania</t>
  </si>
  <si>
    <t>IrrMozambique</t>
  </si>
  <si>
    <t>6.7 to 7.42</t>
  </si>
  <si>
    <t>IrrMalawi</t>
  </si>
  <si>
    <t>IrrAngola</t>
  </si>
  <si>
    <t>base</t>
  </si>
  <si>
    <t>nftype</t>
  </si>
  <si>
    <t>nYIELD</t>
  </si>
  <si>
    <t>yields (t/ha)</t>
  </si>
  <si>
    <t>15-35</t>
  </si>
  <si>
    <t>1.5-2</t>
  </si>
  <si>
    <t>6to9</t>
  </si>
  <si>
    <t>nculture</t>
  </si>
  <si>
    <t>id</t>
  </si>
  <si>
    <t>FAOstats DATA 2011-2016</t>
  </si>
  <si>
    <t>NATIONAL DEMAND</t>
  </si>
  <si>
    <t>https://stats.oecd.org/viewhtml.aspx?datasetcode=HIGH_AGLINK_2016&amp;lang=en</t>
  </si>
  <si>
    <t>OECD-FAO data</t>
  </si>
  <si>
    <t>6 What kind of new cash crops can be grown because of infrastructure ?</t>
  </si>
  <si>
    <t>5 main impact: price of crops, and crops that can be grown</t>
  </si>
  <si>
    <t>4 new projects may allow more area for cashcroprs</t>
  </si>
  <si>
    <t>3 for the others let demand split the production</t>
  </si>
  <si>
    <t xml:space="preserve">2 for eksport (cash) crops limit cultivated area to existing </t>
  </si>
  <si>
    <t>1 represent demand for different crops</t>
  </si>
  <si>
    <t>Thoughts</t>
  </si>
  <si>
    <t>INTERESTING SOURCE:</t>
  </si>
  <si>
    <t>REM2: some countries seems to have "crop producer price" (price at which gov buys to farmer), higher than (international) market price</t>
  </si>
  <si>
    <t>aCropMv: fao but random estimate, see : http://www.fao.org/giews/food-prices/tool/public/#/dataset/domestic</t>
  </si>
  <si>
    <t>aCropDem: http://www.fao.org/faostat, Food Balance Sheet, Domestic Supply quantity</t>
  </si>
  <si>
    <t>other</t>
  </si>
  <si>
    <t>EXTRA CALCULATIONS/DATA</t>
  </si>
  <si>
    <t>SOURCES</t>
  </si>
  <si>
    <t>Crop demand characteristics</t>
  </si>
  <si>
    <t>Crop demand - DRAFT SHEET</t>
  </si>
  <si>
    <t>nomindem</t>
  </si>
  <si>
    <t>noexport</t>
  </si>
  <si>
    <t>future2030</t>
  </si>
  <si>
    <t>nagmscenario</t>
  </si>
  <si>
    <t>ncrop</t>
  </si>
  <si>
    <t>comment:</t>
  </si>
  <si>
    <t>Crop demand (aCropDem)</t>
  </si>
  <si>
    <t>Crop demand elasticity (aDemEla)</t>
  </si>
  <si>
    <t>Crop minimum demand (aMinDem)</t>
  </si>
  <si>
    <t>Value of National Prod</t>
  </si>
  <si>
    <t>SADC stats</t>
  </si>
  <si>
    <t>Producer prices</t>
  </si>
  <si>
    <t>https://www.sadc.int/information-services/sadc-statistics/sadc-statistics-yearbook-201/</t>
  </si>
  <si>
    <t>Crop demand value (aCropVal)</t>
  </si>
  <si>
    <t>SouthAfrica</t>
  </si>
  <si>
    <t>ncountry</t>
  </si>
  <si>
    <t>Only active if crop market is inactive - then crop production is valuated directly at farming zone - ignoring transport and demands</t>
  </si>
  <si>
    <t>Crop farm value (aFarmVal)</t>
  </si>
  <si>
    <t>CtWmAng</t>
  </si>
  <si>
    <t>CtWmTaz</t>
  </si>
  <si>
    <t>CtWmZim</t>
  </si>
  <si>
    <t>CtWmZam</t>
  </si>
  <si>
    <t>CtWmMoz</t>
  </si>
  <si>
    <t>CtWmMal</t>
  </si>
  <si>
    <t>CtTazWm</t>
  </si>
  <si>
    <t>CtZimWm</t>
  </si>
  <si>
    <t>CtZamWm</t>
  </si>
  <si>
    <t>CtMozWm</t>
  </si>
  <si>
    <t>CtMalWm</t>
  </si>
  <si>
    <t>CtNamZam</t>
  </si>
  <si>
    <t>CtZamNam</t>
  </si>
  <si>
    <t>CtBotZim</t>
  </si>
  <si>
    <t>CtZimBot</t>
  </si>
  <si>
    <t>CtZamMoz</t>
  </si>
  <si>
    <t>CtMozZam</t>
  </si>
  <si>
    <t>CtTazMal</t>
  </si>
  <si>
    <t>CtMalTaz</t>
  </si>
  <si>
    <t>CtAngZam</t>
  </si>
  <si>
    <t>CtZamAng</t>
  </si>
  <si>
    <t>CtMozZim</t>
  </si>
  <si>
    <t>CtZimMoz</t>
  </si>
  <si>
    <t>CtZimZam</t>
  </si>
  <si>
    <t>CtZamZim</t>
  </si>
  <si>
    <t>CtMozMal</t>
  </si>
  <si>
    <t>CtMalMoz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</si>
  <si>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</si>
  <si>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</si>
  <si>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</si>
  <si>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</si>
  <si>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</si>
  <si>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</si>
  <si>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</si>
  <si>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</si>
  <si>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</si>
  <si>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</si>
  <si>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</si>
  <si>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</si>
  <si>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</si>
  <si>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</si>
  <si>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</si>
  <si>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</si>
  <si>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</si>
  <si>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</si>
  <si>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</si>
  <si>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</si>
  <si>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</si>
  <si>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CropTransport</t>
  </si>
  <si>
    <t>TransportCost</t>
  </si>
  <si>
    <t>aTransCost</t>
  </si>
  <si>
    <t>CropMarkets</t>
  </si>
  <si>
    <t>CropDem</t>
  </si>
  <si>
    <t>aCropDem</t>
  </si>
  <si>
    <t>aDemEla</t>
  </si>
  <si>
    <t>CropMinDem</t>
  </si>
  <si>
    <t>aMinDem</t>
  </si>
  <si>
    <t>CropValue</t>
  </si>
  <si>
    <t>aCropVal</t>
  </si>
  <si>
    <t>CropFarmValue</t>
  </si>
  <si>
    <t>aFarmVal</t>
  </si>
  <si>
    <t>Transport costs among countries A and B = ABS(Obs Import price A - Obs Imp price B)</t>
  </si>
  <si>
    <t>Tobacco</t>
  </si>
  <si>
    <t>trcost</t>
  </si>
  <si>
    <t>World market price are Import value/Import quantity for Southern Africa market</t>
  </si>
  <si>
    <t>DemElasticity</t>
  </si>
  <si>
    <t>nfoodsecurityscenario</t>
  </si>
  <si>
    <t>NATIONAL DEMAND -DOWNSCALED</t>
  </si>
  <si>
    <t>Crop national production (t)</t>
  </si>
  <si>
    <t>FAO stats, Crop prod per country 2010-2016</t>
  </si>
  <si>
    <t>Country stats (t)</t>
  </si>
  <si>
    <t>vProdValue</t>
  </si>
  <si>
    <t>vAgrWaterCons</t>
  </si>
  <si>
    <t>ALREDAY DOWNSCALED</t>
  </si>
  <si>
    <t>NOT DOWNSCALED</t>
  </si>
  <si>
    <t>NationalProd</t>
  </si>
  <si>
    <t>vCropProd</t>
  </si>
  <si>
    <t>CountryStats</t>
  </si>
  <si>
    <t>future2050</t>
  </si>
  <si>
    <t>base+20%</t>
  </si>
  <si>
    <t>base-20%</t>
  </si>
  <si>
    <t>Rainfed Tobacco(ha)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</si>
  <si>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</si>
  <si>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</si>
  <si>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</si>
  <si>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</si>
  <si>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</si>
  <si>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</si>
  <si>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</si>
  <si>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RFKafueFlat</t>
  </si>
  <si>
    <t>RFCuando</t>
  </si>
  <si>
    <t>RFBaroste</t>
  </si>
  <si>
    <t>RFLuanginga</t>
  </si>
  <si>
    <t>RFLungue</t>
  </si>
  <si>
    <t>RFUpperZambezi</t>
  </si>
  <si>
    <t>RFKabompo</t>
  </si>
  <si>
    <t>RFKaribaBOT</t>
  </si>
  <si>
    <t>RFLowerShire</t>
  </si>
  <si>
    <t>RFKafueUp</t>
  </si>
  <si>
    <t>RFHarare</t>
  </si>
  <si>
    <t>RFMazowe</t>
  </si>
  <si>
    <t>FzMazowe</t>
  </si>
  <si>
    <t>Million ha</t>
  </si>
  <si>
    <t>tobacco</t>
  </si>
  <si>
    <t>Stim</t>
  </si>
  <si>
    <t>#Type of crop market</t>
  </si>
  <si>
    <t>REM: any other value for cmarket_type has no effect</t>
  </si>
  <si>
    <t xml:space="preserve">Hard coded: "ExternalMarket" as keyword for markets that have an </t>
  </si>
  <si>
    <t>external crop supply curve (out of the study area)</t>
  </si>
  <si>
    <t>Future demand (2030, 2050):</t>
  </si>
  <si>
    <t>REM: use of average demand growth</t>
  </si>
  <si>
    <t>RELATIVE INCREASE TO CURRENT DEMAND (IFPRI)</t>
  </si>
  <si>
    <t>REM: the world market demand for crops that are not</t>
  </si>
  <si>
    <t>stimulants, tobacco or sugarcane is considered as 0</t>
  </si>
  <si>
    <t xml:space="preserve">as almost no exports out of the Zambezi countries for </t>
  </si>
  <si>
    <t>these crops are observed</t>
  </si>
  <si>
    <t>#SCENARIO</t>
  </si>
  <si>
    <t>Mt/year</t>
  </si>
  <si>
    <t>REM: THIS IS NOT IMPLEMENTED IN THE ZAMBEZI STUDY</t>
  </si>
  <si>
    <t>aCropDem: http://www.fao.org/faostat , Food Balance Sheet, Domestic Supply quantity</t>
  </si>
  <si>
    <t>Food security constraints</t>
  </si>
  <si>
    <t xml:space="preserve">REM: The food security constraint is to fulfill the demand for </t>
  </si>
  <si>
    <t xml:space="preserve">cereals, roots and pulses (also when import costs are higher </t>
  </si>
  <si>
    <t>than the willingness-to-pay of demand)</t>
  </si>
  <si>
    <t>Import price (lack data)</t>
  </si>
  <si>
    <t>$/t</t>
  </si>
  <si>
    <t>SADC crop prices:</t>
  </si>
  <si>
    <t xml:space="preserve">Other source: </t>
  </si>
  <si>
    <t>http://www.fao.org/giews/food-prices/tool/public/#/dataset/domestic</t>
  </si>
  <si>
    <t>REM: In both cases it is the farm gate price (it only captures producer surplus)</t>
  </si>
  <si>
    <t>FAOstats sources (http://www.fao.org/faostat) :</t>
  </si>
  <si>
    <t>Divide Value of National production by production (most avilable data)</t>
  </si>
  <si>
    <t>REM: Calculated as average of the other countries</t>
  </si>
  <si>
    <t>Value / willingness-to-pay of crop demand</t>
  </si>
  <si>
    <t>REM: We do not consider elasticity of the demand</t>
  </si>
  <si>
    <t>Most of the crop demands are found very inelastic</t>
  </si>
  <si>
    <t xml:space="preserve"> #Exporting crop market</t>
  </si>
  <si>
    <t xml:space="preserve"> #Importing crop market</t>
  </si>
  <si>
    <t xml:space="preserve"> #Crop transport loss </t>
  </si>
  <si>
    <t>REM: A crop transport route is considered between all crop markets of neighboring countries</t>
  </si>
  <si>
    <t>aTransLoss: No Source</t>
  </si>
  <si>
    <t>As no country specific data for cassava, same transport costs as roots are assumed</t>
  </si>
  <si>
    <t>999: no export to world market (as observed)</t>
  </si>
  <si>
    <t>Source: FAOstats (http://www.fao.org/faostat)</t>
  </si>
  <si>
    <t>Transport costs from and to WM = Observed Import Price - World market price (minimum 0)</t>
  </si>
  <si>
    <t>For stimulants transport cost to WM = World market price - Observed export price (minimum 0)</t>
  </si>
  <si>
    <t>REM: Transport cost data is very scarce therefore we do the assumptions as specified above</t>
  </si>
  <si>
    <t>-</t>
  </si>
  <si>
    <t>Calculation sheet for Crop transport cost (aTransCost)</t>
  </si>
  <si>
    <t>REM: Only used for validation of the model</t>
  </si>
  <si>
    <t>M$/year</t>
  </si>
  <si>
    <t xml:space="preserve">Mm³/year </t>
  </si>
  <si>
    <t>aSupLoss</t>
  </si>
  <si>
    <t>#Local supply losses (NOT IMPLEMENTED YET)</t>
  </si>
  <si>
    <t>REM: assumed to remain steady (but can be exported to world market)</t>
  </si>
  <si>
    <t>sCropDem</t>
  </si>
  <si>
    <t>sFoodSecurity</t>
  </si>
  <si>
    <t>sCropVal</t>
  </si>
  <si>
    <t>SCEN_cropval</t>
  </si>
  <si>
    <t>SCEN_cropfarmval</t>
  </si>
  <si>
    <t>1000t/year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</si>
</sst>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2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9"/>
      <color rgb="FFC00000"/>
      <name val="Verdana"/>
      <family val="2"/>
    </font>
    <font>
      <sz val="10"/>
      <color theme="1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C18F"/>
        <bgColor indexed="64"/>
      </patternFill>
    </fill>
    <fill>
      <patternFill patternType="solid">
        <fgColor rgb="FF67963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0" fontId="5" fillId="0" borderId="0" xfId="0" applyFont="1"/>
    <xf numFmtId="11" fontId="0" fillId="0" borderId="0" xfId="0" applyNumberFormat="1"/>
    <xf numFmtId="164" fontId="0" fillId="0" borderId="0" xfId="0" applyNumberFormat="1" applyFill="1" applyBorder="1"/>
    <xf numFmtId="11" fontId="0" fillId="0" borderId="0" xfId="0" applyNumberFormat="1" applyFill="1" applyBorder="1"/>
    <xf numFmtId="0" fontId="3" fillId="0" borderId="0" xfId="0" applyFont="1"/>
    <xf numFmtId="1" fontId="0" fillId="0" borderId="0" xfId="0" applyNumberFormat="1"/>
    <xf numFmtId="0" fontId="6" fillId="0" borderId="1" xfId="0" applyFont="1" applyFill="1" applyBorder="1" applyAlignment="1">
      <alignment horizontal="center" vertical="top"/>
    </xf>
    <xf numFmtId="0" fontId="0" fillId="3" borderId="0" xfId="0" applyFill="1"/>
    <xf numFmtId="0" fontId="6" fillId="0" borderId="2" xfId="0" applyFont="1" applyBorder="1" applyAlignment="1">
      <alignment horizontal="center" vertical="top"/>
    </xf>
    <xf numFmtId="165" fontId="7" fillId="0" borderId="0" xfId="0" applyNumberFormat="1" applyFont="1" applyBorder="1"/>
    <xf numFmtId="165" fontId="7" fillId="0" borderId="3" xfId="0" applyNumberFormat="1" applyFont="1" applyBorder="1"/>
    <xf numFmtId="0" fontId="7" fillId="0" borderId="0" xfId="0" applyFont="1" applyBorder="1"/>
    <xf numFmtId="0" fontId="0" fillId="0" borderId="4" xfId="0" applyBorder="1"/>
    <xf numFmtId="0" fontId="7" fillId="0" borderId="0" xfId="0" applyFont="1" applyFill="1" applyBorder="1"/>
    <xf numFmtId="0" fontId="0" fillId="0" borderId="4" xfId="0" applyFill="1" applyBorder="1"/>
    <xf numFmtId="0" fontId="0" fillId="0" borderId="0" xfId="0" applyFill="1"/>
    <xf numFmtId="0" fontId="8" fillId="4" borderId="0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0" fontId="7" fillId="5" borderId="6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right" vertical="center"/>
    </xf>
    <xf numFmtId="0" fontId="9" fillId="6" borderId="9" xfId="0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Fill="1" applyBorder="1"/>
    <xf numFmtId="166" fontId="0" fillId="0" borderId="0" xfId="0" applyNumberFormat="1" applyFill="1" applyBorder="1"/>
    <xf numFmtId="0" fontId="0" fillId="8" borderId="3" xfId="0" applyFill="1" applyBorder="1"/>
    <xf numFmtId="0" fontId="0" fillId="0" borderId="3" xfId="0" applyBorder="1"/>
    <xf numFmtId="0" fontId="3" fillId="8" borderId="7" xfId="0" applyFont="1" applyFill="1" applyBorder="1"/>
    <xf numFmtId="0" fontId="0" fillId="0" borderId="10" xfId="0" applyBorder="1"/>
    <xf numFmtId="1" fontId="0" fillId="3" borderId="10" xfId="0" applyNumberFormat="1" applyFill="1" applyBorder="1"/>
    <xf numFmtId="1" fontId="0" fillId="0" borderId="10" xfId="0" applyNumberFormat="1" applyBorder="1"/>
    <xf numFmtId="1" fontId="0" fillId="0" borderId="10" xfId="0" applyNumberFormat="1" applyFill="1" applyBorder="1"/>
    <xf numFmtId="1" fontId="0" fillId="0" borderId="0" xfId="0" applyNumberFormat="1" applyFill="1"/>
    <xf numFmtId="1" fontId="0" fillId="3" borderId="0" xfId="0" applyNumberFormat="1" applyFill="1"/>
    <xf numFmtId="1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0" fillId="9" borderId="4" xfId="0" applyFill="1" applyBorder="1"/>
    <xf numFmtId="164" fontId="3" fillId="0" borderId="0" xfId="0" applyNumberFormat="1" applyFont="1" applyFill="1" applyBorder="1"/>
    <xf numFmtId="0" fontId="3" fillId="0" borderId="0" xfId="0" applyFont="1" applyBorder="1"/>
    <xf numFmtId="1" fontId="3" fillId="0" borderId="7" xfId="0" applyNumberFormat="1" applyFont="1" applyFill="1" applyBorder="1"/>
    <xf numFmtId="164" fontId="3" fillId="0" borderId="7" xfId="0" applyNumberFormat="1" applyFont="1" applyFill="1" applyBorder="1"/>
    <xf numFmtId="0" fontId="3" fillId="0" borderId="7" xfId="0" applyFont="1" applyFill="1" applyBorder="1"/>
    <xf numFmtId="2" fontId="0" fillId="0" borderId="0" xfId="0" applyNumberFormat="1" applyFill="1" applyBorder="1"/>
    <xf numFmtId="2" fontId="0" fillId="3" borderId="0" xfId="0" applyNumberFormat="1" applyFill="1" applyBorder="1"/>
    <xf numFmtId="0" fontId="8" fillId="4" borderId="6" xfId="0" applyFont="1" applyFill="1" applyBorder="1" applyAlignment="1">
      <alignment horizontal="right" vertical="center"/>
    </xf>
    <xf numFmtId="164" fontId="0" fillId="0" borderId="10" xfId="0" applyNumberFormat="1" applyFill="1" applyBorder="1"/>
    <xf numFmtId="0" fontId="0" fillId="10" borderId="10" xfId="0" applyFill="1" applyBorder="1"/>
    <xf numFmtId="0" fontId="9" fillId="5" borderId="7" xfId="0" applyFont="1" applyFill="1" applyBorder="1" applyAlignment="1">
      <alignment horizontal="center" vertical="center"/>
    </xf>
    <xf numFmtId="0" fontId="0" fillId="10" borderId="0" xfId="0" applyFill="1" applyBorder="1"/>
    <xf numFmtId="164" fontId="0" fillId="0" borderId="0" xfId="0" applyNumberFormat="1" applyFill="1"/>
    <xf numFmtId="0" fontId="11" fillId="0" borderId="0" xfId="2"/>
    <xf numFmtId="9" fontId="0" fillId="0" borderId="0" xfId="1" applyFont="1"/>
    <xf numFmtId="0" fontId="0" fillId="10" borderId="0" xfId="0" applyFill="1"/>
    <xf numFmtId="164" fontId="0" fillId="0" borderId="10" xfId="0" applyNumberFormat="1" applyBorder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 applyBorder="1"/>
    <xf numFmtId="0" fontId="0" fillId="11" borderId="4" xfId="0" applyFill="1" applyBorder="1"/>
    <xf numFmtId="0" fontId="0" fillId="3" borderId="3" xfId="0" applyFill="1" applyBorder="1"/>
    <xf numFmtId="0" fontId="3" fillId="0" borderId="7" xfId="0" applyFont="1" applyBorder="1"/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7" xfId="0" applyFill="1" applyBorder="1"/>
    <xf numFmtId="0" fontId="12" fillId="8" borderId="7" xfId="0" applyFont="1" applyFill="1" applyBorder="1"/>
    <xf numFmtId="0" fontId="0" fillId="0" borderId="10" xfId="0" applyFill="1" applyBorder="1"/>
    <xf numFmtId="166" fontId="0" fillId="0" borderId="0" xfId="0" applyNumberFormat="1" applyBorder="1"/>
    <xf numFmtId="166" fontId="0" fillId="0" borderId="0" xfId="0" applyNumberFormat="1"/>
    <xf numFmtId="0" fontId="0" fillId="12" borderId="1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 applyFill="1"/>
    <xf numFmtId="0" fontId="4" fillId="0" borderId="0" xfId="0" applyFont="1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3" xfId="0" applyFill="1" applyBorder="1"/>
    <xf numFmtId="165" fontId="0" fillId="0" borderId="0" xfId="0" applyNumberFormat="1" applyFill="1" applyBorder="1"/>
    <xf numFmtId="0" fontId="11" fillId="0" borderId="0" xfId="2" applyFill="1" applyBorder="1"/>
    <xf numFmtId="0" fontId="10" fillId="6" borderId="3" xfId="0" applyFont="1" applyFill="1" applyBorder="1" applyAlignment="1">
      <alignment vertical="center"/>
    </xf>
    <xf numFmtId="0" fontId="0" fillId="0" borderId="14" xfId="0" applyFill="1" applyBorder="1"/>
    <xf numFmtId="0" fontId="0" fillId="0" borderId="7" xfId="0" applyFill="1" applyBorder="1"/>
    <xf numFmtId="0" fontId="12" fillId="0" borderId="9" xfId="0" applyFont="1" applyFill="1" applyBorder="1"/>
    <xf numFmtId="0" fontId="12" fillId="0" borderId="7" xfId="0" applyFont="1" applyFill="1" applyBorder="1"/>
    <xf numFmtId="0" fontId="5" fillId="0" borderId="0" xfId="0" applyFont="1" applyFill="1"/>
    <xf numFmtId="1" fontId="0" fillId="0" borderId="0" xfId="0" applyNumberFormat="1" applyBorder="1"/>
    <xf numFmtId="0" fontId="13" fillId="0" borderId="0" xfId="0" applyFont="1" applyBorder="1" applyAlignment="1">
      <alignment horizontal="center" vertical="top"/>
    </xf>
    <xf numFmtId="1" fontId="0" fillId="3" borderId="0" xfId="0" applyNumberFormat="1" applyFill="1" applyBorder="1"/>
    <xf numFmtId="0" fontId="13" fillId="0" borderId="0" xfId="0" applyFont="1" applyFill="1" applyBorder="1" applyAlignment="1">
      <alignment horizontal="center" vertical="top"/>
    </xf>
    <xf numFmtId="0" fontId="0" fillId="8" borderId="0" xfId="0" applyFont="1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13" borderId="0" xfId="0" applyNumberFormat="1" applyFill="1" applyBorder="1"/>
    <xf numFmtId="0" fontId="0" fillId="13" borderId="0" xfId="0" applyFill="1"/>
    <xf numFmtId="1" fontId="0" fillId="14" borderId="0" xfId="0" applyNumberFormat="1" applyFill="1" applyBorder="1"/>
    <xf numFmtId="0" fontId="0" fillId="14" borderId="0" xfId="0" applyFill="1"/>
    <xf numFmtId="1" fontId="0" fillId="15" borderId="0" xfId="0" applyNumberFormat="1" applyFill="1" applyBorder="1"/>
    <xf numFmtId="0" fontId="0" fillId="15" borderId="0" xfId="0" applyFill="1"/>
    <xf numFmtId="0" fontId="0" fillId="9" borderId="0" xfId="0" applyFill="1" applyBorder="1"/>
    <xf numFmtId="0" fontId="4" fillId="0" borderId="0" xfId="0" applyFont="1" applyAlignment="1">
      <alignment wrapText="1"/>
    </xf>
    <xf numFmtId="0" fontId="13" fillId="0" borderId="2" xfId="0" applyFont="1" applyBorder="1" applyAlignment="1">
      <alignment horizontal="center" vertical="top"/>
    </xf>
    <xf numFmtId="0" fontId="0" fillId="0" borderId="0" xfId="0" applyNumberFormat="1"/>
    <xf numFmtId="0" fontId="0" fillId="7" borderId="0" xfId="0" applyFill="1"/>
    <xf numFmtId="0" fontId="0" fillId="7" borderId="10" xfId="0" applyFill="1" applyBorder="1"/>
    <xf numFmtId="2" fontId="0" fillId="0" borderId="0" xfId="0" applyNumberFormat="1" applyFill="1"/>
    <xf numFmtId="2" fontId="0" fillId="0" borderId="10" xfId="0" applyNumberFormat="1" applyFill="1" applyBorder="1"/>
    <xf numFmtId="0" fontId="0" fillId="0" borderId="0" xfId="0" quotePrefix="1" applyFill="1" applyBorder="1"/>
    <xf numFmtId="0" fontId="0" fillId="0" borderId="0" xfId="0" applyFont="1" applyFill="1" applyBorder="1"/>
    <xf numFmtId="9" fontId="0" fillId="0" borderId="0" xfId="1" applyNumberFormat="1" applyFont="1"/>
    <xf numFmtId="0" fontId="12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 applyFill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  <xf numFmtId="1" fontId="14" fillId="16" borderId="0" xfId="0" applyNumberFormat="1" applyFont="1" applyFill="1" applyBorder="1" applyAlignment="1" applyProtection="1"/>
    <xf numFmtId="1" fontId="14" fillId="3" borderId="0" xfId="0" applyNumberFormat="1" applyFont="1" applyFill="1" applyBorder="1" applyAlignment="1" applyProtection="1"/>
    <xf numFmtId="1" fontId="14" fillId="0" borderId="0" xfId="0" applyNumberFormat="1" applyFont="1" applyFill="1" applyBorder="1" applyAlignment="1" applyProtection="1"/>
    <xf numFmtId="166" fontId="15" fillId="0" borderId="0" xfId="0" applyNumberFormat="1" applyFont="1" applyFill="1" applyBorder="1" applyAlignment="1">
      <alignment horizontal="center" vertical="top"/>
    </xf>
    <xf numFmtId="166" fontId="0" fillId="0" borderId="0" xfId="0" applyNumberFormat="1" applyFont="1" applyFill="1" applyBorder="1"/>
    <xf numFmtId="166" fontId="15" fillId="0" borderId="0" xfId="0" applyNumberFormat="1" applyFont="1" applyFill="1" applyBorder="1" applyAlignment="1">
      <alignment horizontal="right" vertical="top"/>
    </xf>
    <xf numFmtId="166" fontId="0" fillId="0" borderId="0" xfId="0" applyNumberFormat="1" applyFont="1" applyFill="1" applyBorder="1" applyAlignment="1">
      <alignment horizontal="right"/>
    </xf>
    <xf numFmtId="1" fontId="0" fillId="12" borderId="0" xfId="0" applyNumberFormat="1" applyFill="1" applyBorder="1"/>
    <xf numFmtId="0" fontId="11" fillId="7" borderId="0" xfId="2" applyFill="1" applyBorder="1"/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 vertical="top"/>
    </xf>
    <xf numFmtId="1" fontId="16" fillId="0" borderId="0" xfId="0" applyNumberFormat="1" applyFont="1" applyFill="1" applyBorder="1" applyAlignment="1" applyProtection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4" fillId="0" borderId="0" xfId="0" applyFont="1" applyAlignment="1">
      <alignment horizontal="center" vertical="center"/>
    </xf>
    <xf numFmtId="0" fontId="0" fillId="12" borderId="0" xfId="0" applyFill="1" applyBorder="1" applyAlignment="1">
      <alignment horizontal="left"/>
    </xf>
    <xf numFmtId="0" fontId="0" fillId="0" borderId="0" xfId="0" applyFont="1"/>
    <xf numFmtId="0" fontId="18" fillId="0" borderId="0" xfId="0" applyFont="1" applyFill="1"/>
    <xf numFmtId="0" fontId="19" fillId="3" borderId="0" xfId="0" applyFont="1" applyFill="1" applyAlignment="1">
      <alignment horizontal="left" vertical="center"/>
    </xf>
    <xf numFmtId="0" fontId="14" fillId="17" borderId="0" xfId="0" applyNumberFormat="1" applyFont="1" applyFill="1" applyBorder="1" applyAlignment="1" applyProtection="1"/>
    <xf numFmtId="1" fontId="0" fillId="18" borderId="0" xfId="0" applyNumberFormat="1" applyFill="1"/>
    <xf numFmtId="0" fontId="9" fillId="5" borderId="7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wi-my.sharepoint.com/personal/rapy_cowi_com/Documents/Scripts/Main_model/Data/AgricultureMo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rmingZones"/>
      <sheetName val="FarmingZonesLandCap"/>
      <sheetName val="Crops"/>
      <sheetName val="Cultures"/>
      <sheetName val="ReturnFlows"/>
      <sheetName val="FarmTypes"/>
      <sheetName val="Yields"/>
      <sheetName val="CulCost"/>
      <sheetName val="Fields"/>
      <sheetName val="GrowthPhases"/>
      <sheetName val="PhaseMonth"/>
      <sheetName val="CropCoefficient"/>
      <sheetName val="GrowthPhases_1"/>
      <sheetName val="PhaseMonth_1"/>
      <sheetName val="YieldMatrix"/>
      <sheetName val="YieldMatrix2"/>
      <sheetName val="MaxCultureArea"/>
      <sheetName val="WorldBank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">
          <cell r="C23">
            <v>1.7391000000000001</v>
          </cell>
          <cell r="D23">
            <v>1.1234</v>
          </cell>
          <cell r="E23">
            <v>7.7778</v>
          </cell>
          <cell r="F23">
            <v>39.246600000000001</v>
          </cell>
          <cell r="G23">
            <v>2</v>
          </cell>
          <cell r="I23">
            <v>29.3489</v>
          </cell>
          <cell r="J23">
            <v>0.40910000000000002</v>
          </cell>
          <cell r="K23">
            <v>0.51319999999999999</v>
          </cell>
          <cell r="M23">
            <v>0.85750000000000004</v>
          </cell>
          <cell r="N23">
            <v>0.34</v>
          </cell>
          <cell r="R23">
            <v>0.79769999999999996</v>
          </cell>
          <cell r="S23">
            <v>8.7424999999999997</v>
          </cell>
        </row>
        <row r="24">
          <cell r="C24">
            <v>2.2968000000000002</v>
          </cell>
          <cell r="D24">
            <v>2.6547000000000001</v>
          </cell>
          <cell r="E24">
            <v>3.2850999999999999</v>
          </cell>
          <cell r="F24">
            <v>110</v>
          </cell>
          <cell r="G24">
            <v>2.1259000000000001</v>
          </cell>
          <cell r="I24">
            <v>28.385899999999999</v>
          </cell>
          <cell r="J24">
            <v>1.0119</v>
          </cell>
          <cell r="K24">
            <v>0.63219999999999998</v>
          </cell>
          <cell r="M24">
            <v>1.0843</v>
          </cell>
          <cell r="N24">
            <v>2.19</v>
          </cell>
          <cell r="R24">
            <v>1.0571999999999999</v>
          </cell>
          <cell r="S24">
            <v>17.541399999999999</v>
          </cell>
        </row>
        <row r="25">
          <cell r="C25">
            <v>1.7041999999999999</v>
          </cell>
          <cell r="D25">
            <v>1.498</v>
          </cell>
          <cell r="E25">
            <v>6.2</v>
          </cell>
          <cell r="F25">
            <v>79.535700000000006</v>
          </cell>
          <cell r="G25">
            <v>1.1366000000000001</v>
          </cell>
          <cell r="I25">
            <v>8.875</v>
          </cell>
          <cell r="J25">
            <v>0.66249999999999998</v>
          </cell>
          <cell r="K25">
            <v>0.55330000000000001</v>
          </cell>
          <cell r="N25">
            <v>1.35</v>
          </cell>
          <cell r="R25">
            <v>0.58009999999999995</v>
          </cell>
          <cell r="S25">
            <v>17</v>
          </cell>
        </row>
        <row r="26">
          <cell r="C26">
            <v>2.8837999999999999</v>
          </cell>
          <cell r="D26">
            <v>3.1358999999999999</v>
          </cell>
          <cell r="E26">
            <v>6.8148</v>
          </cell>
          <cell r="F26">
            <v>118.09520000000001</v>
          </cell>
          <cell r="G26">
            <v>2.7382</v>
          </cell>
          <cell r="I26">
            <v>7.9204999999999997</v>
          </cell>
          <cell r="J26">
            <v>1.2914000000000001</v>
          </cell>
          <cell r="K26">
            <v>1.0687</v>
          </cell>
          <cell r="M26">
            <v>1.3</v>
          </cell>
          <cell r="N26">
            <v>2.13</v>
          </cell>
          <cell r="R26">
            <v>1.5101</v>
          </cell>
          <cell r="S26">
            <v>9.1651000000000007</v>
          </cell>
        </row>
        <row r="27">
          <cell r="C27">
            <v>9.9387000000000008</v>
          </cell>
          <cell r="D27">
            <v>3.0310000000000001</v>
          </cell>
          <cell r="E27">
            <v>7.875</v>
          </cell>
          <cell r="F27">
            <v>107.1429</v>
          </cell>
          <cell r="G27">
            <v>1.7974000000000001</v>
          </cell>
          <cell r="I27">
            <v>4.25</v>
          </cell>
          <cell r="J27">
            <v>0.97870000000000001</v>
          </cell>
          <cell r="K27">
            <v>0</v>
          </cell>
          <cell r="M27">
            <v>2.3940999999999999</v>
          </cell>
          <cell r="N27">
            <v>1.17</v>
          </cell>
          <cell r="R27">
            <v>1.3323</v>
          </cell>
          <cell r="S27">
            <v>18.7331</v>
          </cell>
        </row>
        <row r="28">
          <cell r="C28">
            <v>5.6</v>
          </cell>
          <cell r="D28">
            <v>1.2965</v>
          </cell>
          <cell r="E28">
            <v>7.2</v>
          </cell>
          <cell r="F28">
            <v>113.04259999999999</v>
          </cell>
          <cell r="G28">
            <v>2.4138000000000002</v>
          </cell>
          <cell r="I28">
            <v>6.8535000000000004</v>
          </cell>
          <cell r="J28">
            <v>0.61929999999999996</v>
          </cell>
          <cell r="K28">
            <v>0.82779999999999998</v>
          </cell>
          <cell r="M28">
            <v>2.2799999999999998</v>
          </cell>
          <cell r="N28">
            <v>1.99</v>
          </cell>
          <cell r="R28">
            <v>0.82330000000000003</v>
          </cell>
          <cell r="S28">
            <v>17.1875</v>
          </cell>
        </row>
        <row r="29">
          <cell r="K29">
            <v>0.51319999999999999</v>
          </cell>
          <cell r="R29">
            <v>0.79769999999999996</v>
          </cell>
        </row>
        <row r="30">
          <cell r="K30">
            <v>0.63219999999999998</v>
          </cell>
          <cell r="R30">
            <v>1.0571999999999999</v>
          </cell>
        </row>
        <row r="31">
          <cell r="K31">
            <v>0.55330000000000001</v>
          </cell>
          <cell r="R31">
            <v>0.58009999999999995</v>
          </cell>
        </row>
        <row r="32">
          <cell r="K32">
            <v>1.0687</v>
          </cell>
          <cell r="R32">
            <v>1.5101</v>
          </cell>
        </row>
        <row r="33">
          <cell r="K33">
            <v>0</v>
          </cell>
          <cell r="R33">
            <v>1.3323</v>
          </cell>
        </row>
        <row r="34">
          <cell r="K34">
            <v>0.82779999999999998</v>
          </cell>
          <cell r="R34">
            <v>0.82330000000000003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harvestchoice.org/products/data" TargetMode="External"/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giews/food-prices/tool/public/" TargetMode="External"/><Relationship Id="rId1" Type="http://schemas.openxmlformats.org/officeDocument/2006/relationships/hyperlink" Target="https://www.sadc.int/information-services/sadc-statistics/sadc-statistics-yearbook-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abSelected="1" workbookViewId="0">
      <selection activeCell="M14" sqref="M14"/>
    </sheetView>
  </sheetViews>
  <sheetFormatPr defaultRowHeight="11.5" x14ac:dyDescent="0.25"/>
  <cols>
    <col min="2" max="2" width="14.72656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8" t="s">
        <v>232</v>
      </c>
    </row>
    <row r="2" spans="1:11" x14ac:dyDescent="0.25">
      <c r="A2" s="6" t="s">
        <v>233</v>
      </c>
    </row>
    <row r="3" spans="1:11" x14ac:dyDescent="0.25">
      <c r="A3" s="6"/>
    </row>
    <row r="4" spans="1:11" x14ac:dyDescent="0.25">
      <c r="A4" s="4" t="s">
        <v>184</v>
      </c>
      <c r="C4" s="117"/>
    </row>
    <row r="5" spans="1:11" x14ac:dyDescent="0.25">
      <c r="A5" s="4" t="s">
        <v>22</v>
      </c>
      <c r="C5" s="108"/>
    </row>
    <row r="6" spans="1:11" x14ac:dyDescent="0.25">
      <c r="A6" s="116" t="s">
        <v>234</v>
      </c>
      <c r="B6" t="s">
        <v>235</v>
      </c>
      <c r="C6" t="s">
        <v>236</v>
      </c>
      <c r="D6" t="s">
        <v>237</v>
      </c>
      <c r="E6" t="s">
        <v>238</v>
      </c>
      <c r="F6" t="s">
        <v>239</v>
      </c>
      <c r="G6" t="s">
        <v>240</v>
      </c>
      <c r="H6" t="s">
        <v>241</v>
      </c>
      <c r="I6" t="s">
        <v>242</v>
      </c>
      <c r="J6" t="s">
        <v>243</v>
      </c>
      <c r="K6" t="s">
        <v>244</v>
      </c>
    </row>
    <row r="7" spans="1:11" x14ac:dyDescent="0.25">
      <c r="A7" s="102">
        <v>1</v>
      </c>
      <c r="B7" t="s">
        <v>248</v>
      </c>
      <c r="C7">
        <v>21</v>
      </c>
      <c r="D7" s="119">
        <v>1</v>
      </c>
      <c r="E7">
        <v>1</v>
      </c>
      <c r="J7">
        <v>1</v>
      </c>
    </row>
    <row r="8" spans="1:11" x14ac:dyDescent="0.25">
      <c r="A8" s="102">
        <v>2</v>
      </c>
      <c r="B8" t="s">
        <v>249</v>
      </c>
      <c r="C8">
        <v>21</v>
      </c>
      <c r="D8" s="119">
        <v>1</v>
      </c>
      <c r="E8">
        <v>2</v>
      </c>
      <c r="F8" t="s">
        <v>352</v>
      </c>
      <c r="H8" t="s">
        <v>250</v>
      </c>
      <c r="J8">
        <v>1</v>
      </c>
    </row>
    <row r="9" spans="1:11" x14ac:dyDescent="0.25">
      <c r="A9" s="102">
        <v>4</v>
      </c>
      <c r="B9" t="s">
        <v>262</v>
      </c>
      <c r="C9">
        <v>21</v>
      </c>
      <c r="D9" s="119">
        <v>1</v>
      </c>
      <c r="E9">
        <v>2</v>
      </c>
      <c r="H9" t="s">
        <v>251</v>
      </c>
      <c r="J9">
        <v>1</v>
      </c>
    </row>
    <row r="10" spans="1:11" x14ac:dyDescent="0.25">
      <c r="A10" s="102">
        <v>5</v>
      </c>
      <c r="B10" t="s">
        <v>252</v>
      </c>
      <c r="C10">
        <v>21</v>
      </c>
      <c r="D10" s="119">
        <v>1</v>
      </c>
      <c r="E10">
        <v>2</v>
      </c>
      <c r="F10" t="s">
        <v>353</v>
      </c>
      <c r="H10" t="s">
        <v>253</v>
      </c>
      <c r="J10">
        <v>1</v>
      </c>
    </row>
    <row r="11" spans="1:11" x14ac:dyDescent="0.25">
      <c r="A11" s="102">
        <v>6</v>
      </c>
      <c r="B11" t="s">
        <v>254</v>
      </c>
      <c r="C11">
        <v>21</v>
      </c>
      <c r="D11" s="119">
        <v>1</v>
      </c>
      <c r="E11">
        <v>2</v>
      </c>
      <c r="F11" t="s">
        <v>354</v>
      </c>
      <c r="H11" t="s">
        <v>255</v>
      </c>
      <c r="J11">
        <v>1</v>
      </c>
    </row>
    <row r="12" spans="1:11" x14ac:dyDescent="0.25">
      <c r="A12" s="102">
        <v>7</v>
      </c>
      <c r="B12" t="s">
        <v>256</v>
      </c>
      <c r="C12">
        <v>21</v>
      </c>
      <c r="D12" s="119">
        <v>1</v>
      </c>
      <c r="E12">
        <v>2</v>
      </c>
      <c r="F12" t="s">
        <v>354</v>
      </c>
      <c r="H12" t="s">
        <v>257</v>
      </c>
      <c r="J12">
        <v>1</v>
      </c>
    </row>
    <row r="13" spans="1:11" x14ac:dyDescent="0.25">
      <c r="A13" s="102">
        <v>8</v>
      </c>
      <c r="B13" t="s">
        <v>245</v>
      </c>
      <c r="C13">
        <v>21</v>
      </c>
      <c r="D13" s="119">
        <v>1</v>
      </c>
      <c r="E13">
        <v>1</v>
      </c>
      <c r="J13">
        <v>1</v>
      </c>
    </row>
    <row r="14" spans="1:11" x14ac:dyDescent="0.25">
      <c r="A14" s="102">
        <v>9</v>
      </c>
      <c r="B14" t="s">
        <v>246</v>
      </c>
      <c r="C14">
        <v>21</v>
      </c>
      <c r="D14" s="119">
        <v>1</v>
      </c>
      <c r="E14">
        <v>2</v>
      </c>
      <c r="H14" t="s">
        <v>247</v>
      </c>
      <c r="J14">
        <v>1</v>
      </c>
    </row>
    <row r="15" spans="1:11" x14ac:dyDescent="0.25">
      <c r="A15" s="102">
        <v>10</v>
      </c>
      <c r="B15" t="s">
        <v>272</v>
      </c>
      <c r="C15">
        <v>21</v>
      </c>
      <c r="D15" s="119">
        <v>1</v>
      </c>
      <c r="E15">
        <v>2</v>
      </c>
      <c r="H15" t="s">
        <v>273</v>
      </c>
      <c r="J15">
        <v>1</v>
      </c>
    </row>
    <row r="16" spans="1:11" x14ac:dyDescent="0.25">
      <c r="A16" s="102">
        <v>11</v>
      </c>
      <c r="B16" t="s">
        <v>274</v>
      </c>
      <c r="C16">
        <v>21</v>
      </c>
      <c r="D16" s="119">
        <v>1</v>
      </c>
      <c r="E16">
        <v>1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showGridLines="0" zoomScale="70" zoomScaleNormal="70" workbookViewId="0">
      <selection activeCell="S18" sqref="S18"/>
    </sheetView>
  </sheetViews>
  <sheetFormatPr defaultRowHeight="11.5" x14ac:dyDescent="0.25"/>
  <cols>
    <col min="1" max="1" width="14.6328125" customWidth="1"/>
  </cols>
  <sheetData>
    <row r="1" spans="1:16" ht="19.5" x14ac:dyDescent="0.35">
      <c r="A1" s="101" t="s">
        <v>345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89" t="s">
        <v>230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</row>
    <row r="5" spans="1:16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</row>
    <row r="6" spans="1:16" x14ac:dyDescent="0.25">
      <c r="A6" s="2" t="s">
        <v>340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</row>
    <row r="7" spans="1:16" x14ac:dyDescent="0.25">
      <c r="A7" s="2" t="s">
        <v>261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</row>
    <row r="8" spans="1:16" x14ac:dyDescent="0.25">
      <c r="A8" s="2" t="s">
        <v>341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</row>
    <row r="9" spans="1:16" x14ac:dyDescent="0.25">
      <c r="A9" t="s">
        <v>342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92"/>
    </row>
    <row r="10" spans="1:16" x14ac:dyDescent="0.25">
      <c r="A10" s="2" t="s">
        <v>258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</row>
    <row r="11" spans="1:16" x14ac:dyDescent="0.25"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</row>
    <row r="12" spans="1:16" x14ac:dyDescent="0.25"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</row>
    <row r="13" spans="1:16" x14ac:dyDescent="0.25">
      <c r="A13" t="s">
        <v>343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</row>
    <row r="14" spans="1:16" x14ac:dyDescent="0.25">
      <c r="A14" s="66" t="s">
        <v>338</v>
      </c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</row>
    <row r="15" spans="1:16" x14ac:dyDescent="0.25">
      <c r="A15" s="86" t="s">
        <v>339</v>
      </c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</row>
    <row r="16" spans="1:16" x14ac:dyDescent="0.25"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</row>
    <row r="17" spans="1:16" x14ac:dyDescent="0.25"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</row>
    <row r="18" spans="1:16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</row>
    <row r="19" spans="1:16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25">
      <c r="A20" s="75" t="s">
        <v>184</v>
      </c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</row>
    <row r="21" spans="1:16" ht="14.5" x14ac:dyDescent="0.25">
      <c r="A21" s="75" t="s">
        <v>22</v>
      </c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3"/>
      <c r="O21" s="103"/>
      <c r="P21" s="103"/>
    </row>
    <row r="22" spans="1:16" x14ac:dyDescent="0.25">
      <c r="A22" s="116" t="s">
        <v>21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300</v>
      </c>
      <c r="L22" s="2" t="s">
        <v>113</v>
      </c>
      <c r="M22" s="2" t="s">
        <v>112</v>
      </c>
      <c r="N22" s="102"/>
      <c r="O22" s="102"/>
      <c r="P22" s="102"/>
    </row>
    <row r="23" spans="1:16" x14ac:dyDescent="0.25">
      <c r="A23" s="115" t="s">
        <v>223</v>
      </c>
      <c r="B23" s="114">
        <f>ABS(B55-B56)</f>
        <v>0</v>
      </c>
      <c r="C23" s="114">
        <f t="shared" ref="C23:M23" si="0">ABS(C55-C56)</f>
        <v>371</v>
      </c>
      <c r="D23" s="114">
        <f t="shared" si="0"/>
        <v>82.500873906175457</v>
      </c>
      <c r="E23" s="114">
        <f t="shared" si="0"/>
        <v>52</v>
      </c>
      <c r="F23" s="114">
        <f t="shared" si="0"/>
        <v>686</v>
      </c>
      <c r="G23" s="114">
        <f t="shared" si="0"/>
        <v>63.843325589970959</v>
      </c>
      <c r="H23" s="114">
        <f t="shared" si="0"/>
        <v>536.39395147021128</v>
      </c>
      <c r="I23" s="114">
        <f t="shared" si="0"/>
        <v>344.07945409337583</v>
      </c>
      <c r="J23" s="114">
        <f>ABS(J55-J56)</f>
        <v>415.17999810708898</v>
      </c>
      <c r="K23" s="114">
        <f>ABS(K55-K56)</f>
        <v>18.340005760955137</v>
      </c>
      <c r="L23" s="114">
        <v>1</v>
      </c>
      <c r="M23" s="114">
        <f t="shared" si="0"/>
        <v>841.03675259257966</v>
      </c>
      <c r="N23" s="102"/>
      <c r="O23" s="102"/>
      <c r="P23" s="102"/>
    </row>
    <row r="24" spans="1:16" x14ac:dyDescent="0.25">
      <c r="A24" s="115" t="s">
        <v>222</v>
      </c>
      <c r="B24" s="114">
        <v>0</v>
      </c>
      <c r="C24" s="114">
        <v>371</v>
      </c>
      <c r="D24" s="114">
        <v>82.500873906175457</v>
      </c>
      <c r="E24" s="114">
        <v>52</v>
      </c>
      <c r="F24" s="114">
        <v>686</v>
      </c>
      <c r="G24" s="114">
        <v>63.843325589970959</v>
      </c>
      <c r="H24" s="114">
        <v>536.39395147021128</v>
      </c>
      <c r="I24" s="114">
        <v>344.07945409337583</v>
      </c>
      <c r="J24" s="114">
        <f>J23</f>
        <v>415.17999810708898</v>
      </c>
      <c r="K24" s="114">
        <f>K23</f>
        <v>18.340005760955137</v>
      </c>
      <c r="L24" s="114">
        <v>1</v>
      </c>
      <c r="M24" s="114">
        <v>841.03675259257966</v>
      </c>
      <c r="N24" s="102"/>
      <c r="O24" s="102"/>
      <c r="P24" s="102"/>
    </row>
    <row r="25" spans="1:16" x14ac:dyDescent="0.25">
      <c r="A25" s="115" t="s">
        <v>221</v>
      </c>
      <c r="B25" s="114">
        <f>ABS(B60-B59)</f>
        <v>165.34657039711192</v>
      </c>
      <c r="C25" s="114">
        <f t="shared" ref="C25:M25" si="1">ABS(C60-C59)</f>
        <v>215</v>
      </c>
      <c r="D25" s="114">
        <f t="shared" si="1"/>
        <v>65.452199905438647</v>
      </c>
      <c r="E25" s="114">
        <f>ABS(E60-E59)</f>
        <v>144</v>
      </c>
      <c r="F25" s="114">
        <f t="shared" si="1"/>
        <v>6</v>
      </c>
      <c r="G25" s="114">
        <f t="shared" si="1"/>
        <v>407.18061616646787</v>
      </c>
      <c r="H25" s="114">
        <f t="shared" si="1"/>
        <v>105.82377658989833</v>
      </c>
      <c r="I25" s="114">
        <f t="shared" si="1"/>
        <v>100.83198409603017</v>
      </c>
      <c r="J25" s="114">
        <f>ABS(J60-J59)</f>
        <v>541.53405102343731</v>
      </c>
      <c r="K25" s="114">
        <f>ABS(K60-K59)</f>
        <v>1678.9405371400612</v>
      </c>
      <c r="L25" s="114">
        <v>1</v>
      </c>
      <c r="M25" s="114">
        <f t="shared" si="1"/>
        <v>129.53644671362599</v>
      </c>
      <c r="N25" s="102"/>
      <c r="O25" s="102"/>
      <c r="P25" s="102"/>
    </row>
    <row r="26" spans="1:16" x14ac:dyDescent="0.25">
      <c r="A26" s="115" t="s">
        <v>220</v>
      </c>
      <c r="B26" s="114">
        <v>331</v>
      </c>
      <c r="C26" s="114">
        <v>215</v>
      </c>
      <c r="D26" s="114">
        <v>65.452199905438647</v>
      </c>
      <c r="E26" s="114">
        <v>144</v>
      </c>
      <c r="F26" s="114">
        <v>6</v>
      </c>
      <c r="G26" s="114">
        <v>407.18061616646787</v>
      </c>
      <c r="H26" s="114">
        <v>105.82377658989833</v>
      </c>
      <c r="I26" s="114">
        <v>100.83198409603017</v>
      </c>
      <c r="J26" s="114">
        <f>J25</f>
        <v>541.53405102343731</v>
      </c>
      <c r="K26" s="114">
        <f>K25</f>
        <v>1678.9405371400612</v>
      </c>
      <c r="L26" s="114">
        <v>1</v>
      </c>
      <c r="M26" s="114">
        <v>129.53644671362599</v>
      </c>
      <c r="N26" s="102"/>
      <c r="O26" s="102"/>
      <c r="P26" s="102"/>
    </row>
    <row r="27" spans="1:16" x14ac:dyDescent="0.25">
      <c r="A27" s="115" t="s">
        <v>219</v>
      </c>
      <c r="B27" s="114">
        <f>ABS(B56-B60)</f>
        <v>0</v>
      </c>
      <c r="C27" s="114">
        <f t="shared" ref="C27:M27" si="2">ABS(C56-C60)</f>
        <v>207</v>
      </c>
      <c r="D27" s="114">
        <f t="shared" si="2"/>
        <v>73.514491904894953</v>
      </c>
      <c r="E27" s="114">
        <f t="shared" si="2"/>
        <v>115</v>
      </c>
      <c r="F27" s="114">
        <f t="shared" si="2"/>
        <v>164</v>
      </c>
      <c r="G27" s="114">
        <f t="shared" si="2"/>
        <v>38.953193629064685</v>
      </c>
      <c r="H27" s="114">
        <f t="shared" si="2"/>
        <v>233.21785198324352</v>
      </c>
      <c r="I27" s="114">
        <f t="shared" si="2"/>
        <v>191.0569534325258</v>
      </c>
      <c r="J27" s="114">
        <f t="shared" si="2"/>
        <v>326.89055845949133</v>
      </c>
      <c r="K27" s="114">
        <f t="shared" ref="K27" si="3">ABS(K56-K60)</f>
        <v>1366.013219649285</v>
      </c>
      <c r="L27" s="114">
        <v>1</v>
      </c>
      <c r="M27" s="114">
        <f t="shared" si="2"/>
        <v>28.495514241035949</v>
      </c>
      <c r="N27" s="102"/>
      <c r="O27" s="102"/>
      <c r="P27" s="102"/>
    </row>
    <row r="28" spans="1:16" x14ac:dyDescent="0.25">
      <c r="A28" s="115" t="s">
        <v>218</v>
      </c>
      <c r="B28" s="114">
        <v>0.30685920577622028</v>
      </c>
      <c r="C28" s="114">
        <v>207</v>
      </c>
      <c r="D28" s="114">
        <v>73.514491904894953</v>
      </c>
      <c r="E28" s="114">
        <v>115</v>
      </c>
      <c r="F28" s="114">
        <v>164</v>
      </c>
      <c r="G28" s="114">
        <v>38.953193629064685</v>
      </c>
      <c r="H28" s="114">
        <v>233.21785198324352</v>
      </c>
      <c r="I28" s="114">
        <v>191.0569534325258</v>
      </c>
      <c r="J28" s="114">
        <f>J27</f>
        <v>326.89055845949133</v>
      </c>
      <c r="K28" s="114">
        <f>K27</f>
        <v>1366.013219649285</v>
      </c>
      <c r="L28" s="114">
        <v>1</v>
      </c>
      <c r="M28" s="114">
        <v>28.495514241035949</v>
      </c>
      <c r="N28" s="102"/>
      <c r="O28" s="102"/>
      <c r="P28" s="102"/>
    </row>
    <row r="29" spans="1:16" x14ac:dyDescent="0.25">
      <c r="A29" s="115" t="s">
        <v>217</v>
      </c>
      <c r="B29" s="114">
        <f>ABS(B59-B53)</f>
        <v>330.69314079422378</v>
      </c>
      <c r="C29" s="114">
        <f t="shared" ref="C29:M29" si="4">ABS(C59-C53)</f>
        <v>335</v>
      </c>
      <c r="D29" s="114">
        <f t="shared" si="4"/>
        <v>192.77016742770161</v>
      </c>
      <c r="E29" s="114">
        <f t="shared" si="4"/>
        <v>302</v>
      </c>
      <c r="F29" s="114">
        <f t="shared" si="4"/>
        <v>526</v>
      </c>
      <c r="G29" s="114">
        <f t="shared" si="4"/>
        <v>379.85698965426695</v>
      </c>
      <c r="H29" s="114">
        <f t="shared" si="4"/>
        <v>22.22426401955488</v>
      </c>
      <c r="I29" s="114">
        <f t="shared" si="4"/>
        <v>21.352222705850409</v>
      </c>
      <c r="J29" s="114">
        <f t="shared" si="4"/>
        <v>1023.3722529117586</v>
      </c>
      <c r="K29" s="114">
        <f t="shared" ref="K29" si="5">ABS(K59-K53)</f>
        <v>1821.0252466842189</v>
      </c>
      <c r="L29" s="114">
        <v>1</v>
      </c>
      <c r="M29" s="114">
        <f t="shared" si="4"/>
        <v>497.53750144595858</v>
      </c>
      <c r="N29" s="102"/>
      <c r="O29" s="102"/>
      <c r="P29" s="102"/>
    </row>
    <row r="30" spans="1:16" x14ac:dyDescent="0.25">
      <c r="A30" s="115" t="s">
        <v>216</v>
      </c>
      <c r="B30" s="114">
        <v>330.69314079422378</v>
      </c>
      <c r="C30" s="114">
        <v>335</v>
      </c>
      <c r="D30" s="114">
        <v>192.77016742770161</v>
      </c>
      <c r="E30" s="114">
        <v>302</v>
      </c>
      <c r="F30" s="114">
        <v>526</v>
      </c>
      <c r="G30" s="114">
        <v>379.85698965426695</v>
      </c>
      <c r="H30" s="114">
        <v>22.22426401955488</v>
      </c>
      <c r="I30" s="114">
        <v>21.352222705850409</v>
      </c>
      <c r="J30" s="114">
        <f>J29</f>
        <v>1023.3722529117586</v>
      </c>
      <c r="K30" s="114">
        <f>K29</f>
        <v>1821.0252466842189</v>
      </c>
      <c r="L30" s="114">
        <v>1</v>
      </c>
      <c r="M30" s="114">
        <v>497.53750144595858</v>
      </c>
      <c r="N30" s="102"/>
      <c r="O30" s="102"/>
      <c r="P30" s="102"/>
    </row>
    <row r="31" spans="1:16" ht="16" customHeight="1" x14ac:dyDescent="0.25">
      <c r="A31" s="115" t="s">
        <v>215</v>
      </c>
      <c r="B31" s="114">
        <f>ABS(B58-B55)</f>
        <v>0</v>
      </c>
      <c r="C31" s="114">
        <f t="shared" ref="C31:M31" si="6">ABS(C58-C55)</f>
        <v>121</v>
      </c>
      <c r="D31" s="114">
        <f t="shared" si="6"/>
        <v>166.66666666666663</v>
      </c>
      <c r="E31" s="114">
        <f>ABS(E58-E55)</f>
        <v>54</v>
      </c>
      <c r="F31" s="114">
        <f t="shared" si="6"/>
        <v>432</v>
      </c>
      <c r="G31" s="114">
        <f t="shared" si="6"/>
        <v>624.34279128320338</v>
      </c>
      <c r="H31" s="114">
        <f t="shared" si="6"/>
        <v>493.37127351222671</v>
      </c>
      <c r="I31" s="114">
        <f t="shared" si="6"/>
        <v>463.83685386419427</v>
      </c>
      <c r="J31" s="114">
        <f t="shared" si="6"/>
        <v>554.36085244656033</v>
      </c>
      <c r="K31" s="114">
        <f t="shared" ref="K31" si="7">ABS(K58-K55)</f>
        <v>1227.2925699359503</v>
      </c>
      <c r="L31" s="114">
        <v>1</v>
      </c>
      <c r="M31" s="114">
        <f t="shared" si="6"/>
        <v>870.4062602844914</v>
      </c>
      <c r="N31" s="102"/>
      <c r="O31" s="102"/>
      <c r="P31" s="102"/>
    </row>
    <row r="32" spans="1:16" ht="15" customHeight="1" x14ac:dyDescent="0.25">
      <c r="A32" s="115" t="s">
        <v>214</v>
      </c>
      <c r="B32" s="114">
        <v>0</v>
      </c>
      <c r="C32" s="114">
        <v>121</v>
      </c>
      <c r="D32" s="114">
        <v>166.66666666666663</v>
      </c>
      <c r="E32" s="114">
        <v>54</v>
      </c>
      <c r="F32" s="114">
        <v>432</v>
      </c>
      <c r="G32" s="114">
        <v>624.34279128320338</v>
      </c>
      <c r="H32" s="114">
        <v>493.37127351222671</v>
      </c>
      <c r="I32" s="114">
        <v>463.83685386419427</v>
      </c>
      <c r="J32" s="114">
        <f>J31</f>
        <v>554.36085244656033</v>
      </c>
      <c r="K32" s="114">
        <f>K31</f>
        <v>1227.2925699359503</v>
      </c>
      <c r="L32" s="114">
        <v>1</v>
      </c>
      <c r="M32" s="114">
        <v>870.4062602844914</v>
      </c>
    </row>
    <row r="33" spans="1:13" ht="14.5" customHeight="1" x14ac:dyDescent="0.25">
      <c r="A33" s="115" t="s">
        <v>213</v>
      </c>
      <c r="B33" s="114">
        <f>ABS(B59-B56)</f>
        <v>165.34657039711192</v>
      </c>
      <c r="C33" s="114">
        <f t="shared" ref="C33:M33" si="8">ABS(C59-C56)</f>
        <v>422</v>
      </c>
      <c r="D33" s="114">
        <f t="shared" si="8"/>
        <v>8.0622919994563063</v>
      </c>
      <c r="E33" s="114">
        <f t="shared" si="8"/>
        <v>29</v>
      </c>
      <c r="F33" s="114">
        <f t="shared" si="8"/>
        <v>158</v>
      </c>
      <c r="G33" s="114">
        <f t="shared" si="8"/>
        <v>446.13380979553256</v>
      </c>
      <c r="H33" s="114">
        <f t="shared" si="8"/>
        <v>127.39407539334519</v>
      </c>
      <c r="I33" s="114">
        <f t="shared" si="8"/>
        <v>291.88893752855597</v>
      </c>
      <c r="J33" s="114">
        <f t="shared" si="8"/>
        <v>214.64349256394598</v>
      </c>
      <c r="K33" s="114">
        <f>ABS(K59-K56)</f>
        <v>312.9273174907762</v>
      </c>
      <c r="L33" s="114">
        <v>1</v>
      </c>
      <c r="M33" s="114">
        <f t="shared" si="8"/>
        <v>101.04093247259004</v>
      </c>
    </row>
    <row r="34" spans="1:13" ht="14.5" customHeight="1" x14ac:dyDescent="0.25">
      <c r="A34" s="115" t="s">
        <v>212</v>
      </c>
      <c r="B34" s="114">
        <v>330.69314079422378</v>
      </c>
      <c r="C34" s="114">
        <v>422</v>
      </c>
      <c r="D34" s="114">
        <v>8.0622919994563063</v>
      </c>
      <c r="E34" s="114">
        <v>29</v>
      </c>
      <c r="F34" s="114">
        <v>158</v>
      </c>
      <c r="G34" s="114">
        <v>446.13380979553256</v>
      </c>
      <c r="H34" s="114">
        <v>127.39407539334519</v>
      </c>
      <c r="I34" s="114">
        <v>291.88893752855597</v>
      </c>
      <c r="J34" s="114">
        <f>J33</f>
        <v>214.64349256394598</v>
      </c>
      <c r="K34" s="114">
        <f>K33</f>
        <v>312.9273174907762</v>
      </c>
      <c r="L34" s="114">
        <v>1</v>
      </c>
      <c r="M34" s="114">
        <v>101.04093247259004</v>
      </c>
    </row>
    <row r="35" spans="1:13" ht="14.5" customHeight="1" x14ac:dyDescent="0.25">
      <c r="A35" s="115" t="s">
        <v>211</v>
      </c>
      <c r="B35" s="114">
        <f>ABS(B54-B60)</f>
        <v>0</v>
      </c>
      <c r="C35" s="114">
        <f t="shared" ref="C35:M35" si="9">ABS(C54-C60)</f>
        <v>1</v>
      </c>
      <c r="D35" s="114">
        <f t="shared" si="9"/>
        <v>148.86228998846673</v>
      </c>
      <c r="E35" s="114">
        <f t="shared" si="9"/>
        <v>11</v>
      </c>
      <c r="F35" s="114">
        <f t="shared" si="9"/>
        <v>243</v>
      </c>
      <c r="G35" s="114">
        <f t="shared" si="9"/>
        <v>312.45276021029235</v>
      </c>
      <c r="H35" s="114">
        <f t="shared" si="9"/>
        <v>364.78162315810255</v>
      </c>
      <c r="I35" s="114">
        <f t="shared" si="9"/>
        <v>55.641116358586089</v>
      </c>
      <c r="J35" s="114">
        <f>ABS(J54-J60)</f>
        <v>3714.4615639196413</v>
      </c>
      <c r="K35" s="114">
        <f>ABS(K54-K60)</f>
        <v>1842.0480119409913</v>
      </c>
      <c r="L35" s="114">
        <v>1</v>
      </c>
      <c r="M35" s="114">
        <f t="shared" si="9"/>
        <v>110.20030566135938</v>
      </c>
    </row>
    <row r="36" spans="1:13" ht="16" customHeight="1" x14ac:dyDescent="0.25">
      <c r="A36" s="115" t="s">
        <v>210</v>
      </c>
      <c r="B36" s="114">
        <v>0.30685920577622028</v>
      </c>
      <c r="C36" s="114">
        <v>1</v>
      </c>
      <c r="D36" s="114">
        <v>148.86228998846673</v>
      </c>
      <c r="E36" s="114">
        <v>11</v>
      </c>
      <c r="F36" s="114">
        <v>243</v>
      </c>
      <c r="G36" s="114">
        <v>312.45276021029235</v>
      </c>
      <c r="H36" s="114">
        <v>364.78162315810255</v>
      </c>
      <c r="I36" s="114">
        <v>55.641116358586089</v>
      </c>
      <c r="J36" s="114">
        <f>J35</f>
        <v>3714.4615639196413</v>
      </c>
      <c r="K36" s="114">
        <f>K35</f>
        <v>1842.0480119409913</v>
      </c>
      <c r="L36" s="114">
        <v>1</v>
      </c>
      <c r="M36" s="114">
        <v>110.20030566135938</v>
      </c>
    </row>
    <row r="37" spans="1:13" ht="17.5" customHeight="1" x14ac:dyDescent="0.25">
      <c r="A37" s="115" t="s">
        <v>209</v>
      </c>
      <c r="B37" s="114">
        <f>ABS(B57-B59)</f>
        <v>165.34657039711192</v>
      </c>
      <c r="C37" s="114">
        <f t="shared" ref="C37:M37" si="10">ABS(C57-C59)</f>
        <v>422</v>
      </c>
      <c r="D37" s="114">
        <f t="shared" si="10"/>
        <v>116.54467723162315</v>
      </c>
      <c r="E37" s="114">
        <f t="shared" si="10"/>
        <v>84</v>
      </c>
      <c r="F37" s="114">
        <f t="shared" si="10"/>
        <v>47</v>
      </c>
      <c r="G37" s="114">
        <f t="shared" si="10"/>
        <v>28.031375682977114</v>
      </c>
      <c r="H37" s="114">
        <f t="shared" si="10"/>
        <v>152.558636185723</v>
      </c>
      <c r="I37" s="114">
        <f t="shared" si="10"/>
        <v>199.10414627234456</v>
      </c>
      <c r="J37" s="114">
        <f t="shared" si="10"/>
        <v>818.10146558107363</v>
      </c>
      <c r="K37" s="114">
        <f t="shared" ref="K37" si="11">ABS(K57-K59)</f>
        <v>1003.6399255833007</v>
      </c>
      <c r="L37" s="114">
        <v>1</v>
      </c>
      <c r="M37" s="114">
        <f t="shared" si="10"/>
        <v>73.987775327295367</v>
      </c>
    </row>
    <row r="38" spans="1:13" ht="13.5" customHeight="1" x14ac:dyDescent="0.25">
      <c r="A38" s="115" t="s">
        <v>208</v>
      </c>
      <c r="B38" s="114">
        <v>330.69314079422378</v>
      </c>
      <c r="C38" s="114">
        <v>422</v>
      </c>
      <c r="D38" s="114">
        <v>116.54467723162315</v>
      </c>
      <c r="E38" s="114">
        <v>84</v>
      </c>
      <c r="F38" s="114">
        <v>47</v>
      </c>
      <c r="G38" s="114">
        <v>28.031375682977114</v>
      </c>
      <c r="H38" s="114">
        <v>152.558636185723</v>
      </c>
      <c r="I38" s="114">
        <v>199.10414627234456</v>
      </c>
      <c r="J38" s="114">
        <f>J37</f>
        <v>818.10146558107363</v>
      </c>
      <c r="K38" s="114">
        <f>K37</f>
        <v>1003.6399255833007</v>
      </c>
      <c r="L38" s="114">
        <v>1</v>
      </c>
      <c r="M38" s="114">
        <v>73.987775327295367</v>
      </c>
    </row>
    <row r="39" spans="1:13" ht="14.5" customHeight="1" x14ac:dyDescent="0.25">
      <c r="A39" s="113" t="s">
        <v>207</v>
      </c>
      <c r="B39" s="112">
        <v>0.30685920577622028</v>
      </c>
      <c r="C39" s="112">
        <v>352</v>
      </c>
      <c r="D39" s="112">
        <v>398.33333333333337</v>
      </c>
      <c r="E39" s="112">
        <v>5</v>
      </c>
      <c r="F39" s="112">
        <v>560</v>
      </c>
      <c r="G39" s="112">
        <v>74.441380784439389</v>
      </c>
      <c r="H39" s="112">
        <v>419.23127035830612</v>
      </c>
      <c r="I39" s="112">
        <v>272.06373462541933</v>
      </c>
      <c r="J39" s="112">
        <f>$J$51-J55</f>
        <v>2972.8195787816326</v>
      </c>
      <c r="K39" s="112">
        <f>$K$51-K55</f>
        <v>1347.7074300640497</v>
      </c>
      <c r="L39" s="112">
        <v>0</v>
      </c>
      <c r="M39" s="112">
        <v>638.77211394302799</v>
      </c>
    </row>
    <row r="40" spans="1:13" ht="15" customHeight="1" x14ac:dyDescent="0.25">
      <c r="A40" s="113" t="s">
        <v>206</v>
      </c>
      <c r="B40" s="112">
        <v>0.30685920577622028</v>
      </c>
      <c r="C40" s="112">
        <v>0</v>
      </c>
      <c r="D40" s="112">
        <v>315.83245942715791</v>
      </c>
      <c r="E40" s="112">
        <v>0</v>
      </c>
      <c r="F40" s="112">
        <v>0</v>
      </c>
      <c r="G40" s="112">
        <v>138.28470637441035</v>
      </c>
      <c r="H40" s="112">
        <v>0</v>
      </c>
      <c r="I40" s="112">
        <v>0</v>
      </c>
      <c r="J40" s="112">
        <f>J51-J56</f>
        <v>3387.9995768887215</v>
      </c>
      <c r="K40" s="112">
        <f>K51-K56</f>
        <v>1366.0474358250049</v>
      </c>
      <c r="L40" s="112">
        <v>0</v>
      </c>
      <c r="M40" s="112">
        <v>0</v>
      </c>
    </row>
    <row r="41" spans="1:13" x14ac:dyDescent="0.25">
      <c r="A41" s="113" t="s">
        <v>205</v>
      </c>
      <c r="B41" s="112">
        <v>331</v>
      </c>
      <c r="C41" s="112">
        <v>403</v>
      </c>
      <c r="D41" s="112">
        <v>307.77016742770161</v>
      </c>
      <c r="E41" s="112">
        <v>0</v>
      </c>
      <c r="F41" s="112">
        <v>32</v>
      </c>
      <c r="G41" s="112">
        <v>584.4185161699429</v>
      </c>
      <c r="H41" s="112">
        <v>10.231394281440089</v>
      </c>
      <c r="I41" s="112">
        <v>219.87321806059947</v>
      </c>
      <c r="J41" s="112">
        <f>J51-J59</f>
        <v>3173.3560843247756</v>
      </c>
      <c r="K41" s="112">
        <f>K51-K59</f>
        <v>1678.9747533157811</v>
      </c>
      <c r="L41" s="112">
        <v>0</v>
      </c>
      <c r="M41" s="112">
        <v>0</v>
      </c>
    </row>
    <row r="42" spans="1:13" x14ac:dyDescent="0.25">
      <c r="A42" s="113" t="s">
        <v>204</v>
      </c>
      <c r="B42" s="112">
        <v>0</v>
      </c>
      <c r="C42" s="112">
        <v>188</v>
      </c>
      <c r="D42" s="112">
        <v>242.31796752226296</v>
      </c>
      <c r="E42" s="112">
        <v>68</v>
      </c>
      <c r="F42" s="112">
        <v>38</v>
      </c>
      <c r="G42" s="112">
        <v>177.23790000347503</v>
      </c>
      <c r="H42" s="112">
        <v>116.05517087133842</v>
      </c>
      <c r="I42" s="112">
        <v>119.0412339645693</v>
      </c>
      <c r="J42" s="112">
        <f>J51-J60</f>
        <v>3714.8901353482129</v>
      </c>
      <c r="K42" s="112">
        <f>K51-K60</f>
        <v>3.4216175719848252E-2</v>
      </c>
      <c r="L42" s="112">
        <v>0</v>
      </c>
      <c r="M42" s="112">
        <v>0</v>
      </c>
    </row>
    <row r="43" spans="1:13" x14ac:dyDescent="0.25">
      <c r="A43" s="113" t="s">
        <v>203</v>
      </c>
      <c r="B43" s="112">
        <v>0.30685920577622028</v>
      </c>
      <c r="C43" s="112">
        <v>231</v>
      </c>
      <c r="D43" s="112">
        <v>565</v>
      </c>
      <c r="E43" s="112">
        <v>59</v>
      </c>
      <c r="F43" s="112">
        <v>128</v>
      </c>
      <c r="G43" s="112">
        <v>0</v>
      </c>
      <c r="H43" s="112">
        <v>0</v>
      </c>
      <c r="I43" s="112">
        <v>0</v>
      </c>
      <c r="J43" s="112">
        <f>J51-J58</f>
        <v>3527.1804312281929</v>
      </c>
      <c r="K43" s="112">
        <f>K51-K58</f>
        <v>2575</v>
      </c>
      <c r="L43" s="112">
        <v>0</v>
      </c>
      <c r="M43" s="112">
        <v>0</v>
      </c>
    </row>
    <row r="44" spans="1:13" x14ac:dyDescent="0.25">
      <c r="A44" s="111" t="s">
        <v>202</v>
      </c>
      <c r="B44" s="110">
        <f>B55-B51</f>
        <v>165.65342960288808</v>
      </c>
      <c r="C44" s="110">
        <f t="shared" ref="C44:M44" si="12">C55-C51</f>
        <v>352</v>
      </c>
      <c r="D44" s="110">
        <f t="shared" si="12"/>
        <v>398.33333333333337</v>
      </c>
      <c r="E44" s="110">
        <f t="shared" si="12"/>
        <v>5</v>
      </c>
      <c r="F44" s="110">
        <f t="shared" si="12"/>
        <v>560</v>
      </c>
      <c r="G44" s="110">
        <f t="shared" si="12"/>
        <v>74.441380784439389</v>
      </c>
      <c r="H44" s="110">
        <f t="shared" si="12"/>
        <v>419.23127035830612</v>
      </c>
      <c r="I44" s="110">
        <f t="shared" si="12"/>
        <v>272.06373462541933</v>
      </c>
      <c r="J44" s="110">
        <v>0</v>
      </c>
      <c r="K44" s="110">
        <v>0</v>
      </c>
      <c r="L44" s="110">
        <v>0</v>
      </c>
      <c r="M44" s="110">
        <f t="shared" si="12"/>
        <v>638.77211394302799</v>
      </c>
    </row>
    <row r="45" spans="1:13" x14ac:dyDescent="0.25">
      <c r="A45" s="111" t="s">
        <v>201</v>
      </c>
      <c r="B45" s="110">
        <f>MAX(0,B56-B$51)</f>
        <v>165.65342960288808</v>
      </c>
      <c r="C45" s="110">
        <v>0</v>
      </c>
      <c r="D45" s="110">
        <f>D56-D$51</f>
        <v>315.83245942715791</v>
      </c>
      <c r="E45" s="110">
        <v>0</v>
      </c>
      <c r="F45" s="110">
        <v>0</v>
      </c>
      <c r="G45" s="110">
        <f>G56-G$51</f>
        <v>138.28470637441035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</row>
    <row r="46" spans="1:13" x14ac:dyDescent="0.25">
      <c r="A46" s="111" t="s">
        <v>200</v>
      </c>
      <c r="B46" s="110">
        <f>MAX(0,B59-B$51)</f>
        <v>331</v>
      </c>
      <c r="C46" s="110">
        <f t="shared" ref="C46:I46" si="13">C59-C$51</f>
        <v>403</v>
      </c>
      <c r="D46" s="110">
        <f t="shared" si="13"/>
        <v>307.77016742770161</v>
      </c>
      <c r="E46" s="110">
        <v>0</v>
      </c>
      <c r="F46" s="110">
        <f t="shared" si="13"/>
        <v>32</v>
      </c>
      <c r="G46" s="110">
        <f t="shared" si="13"/>
        <v>584.4185161699429</v>
      </c>
      <c r="H46" s="110">
        <f t="shared" si="13"/>
        <v>10.231394281440089</v>
      </c>
      <c r="I46" s="110">
        <f t="shared" si="13"/>
        <v>219.87321806059947</v>
      </c>
      <c r="J46" s="110">
        <v>0</v>
      </c>
      <c r="K46" s="110">
        <v>0</v>
      </c>
      <c r="L46" s="110">
        <v>0</v>
      </c>
      <c r="M46" s="110">
        <v>0</v>
      </c>
    </row>
    <row r="47" spans="1:13" x14ac:dyDescent="0.25">
      <c r="A47" s="111" t="s">
        <v>199</v>
      </c>
      <c r="B47" s="110">
        <f>MAX(0,B60-B$51)</f>
        <v>165.65342960288808</v>
      </c>
      <c r="C47" s="110">
        <f t="shared" ref="C47:M47" si="14">MAX(0,C60-C$51)</f>
        <v>188</v>
      </c>
      <c r="D47" s="110">
        <f t="shared" si="14"/>
        <v>242.31796752226296</v>
      </c>
      <c r="E47" s="110">
        <f t="shared" si="14"/>
        <v>68</v>
      </c>
      <c r="F47" s="110">
        <f t="shared" si="14"/>
        <v>38</v>
      </c>
      <c r="G47" s="110">
        <f t="shared" si="14"/>
        <v>177.23790000347503</v>
      </c>
      <c r="H47" s="110">
        <f t="shared" si="14"/>
        <v>116.05517087133842</v>
      </c>
      <c r="I47" s="110">
        <f t="shared" si="14"/>
        <v>119.0412339645693</v>
      </c>
      <c r="J47" s="110">
        <v>0</v>
      </c>
      <c r="K47" s="110">
        <v>0</v>
      </c>
      <c r="L47" s="110">
        <v>0</v>
      </c>
      <c r="M47" s="110">
        <f t="shared" si="14"/>
        <v>0</v>
      </c>
    </row>
    <row r="48" spans="1:13" x14ac:dyDescent="0.25">
      <c r="A48" s="111" t="s">
        <v>198</v>
      </c>
      <c r="B48" s="110">
        <f>B58-B$51</f>
        <v>165.65342960288808</v>
      </c>
      <c r="C48" s="110">
        <f t="shared" ref="C48:F48" si="15">C58-C$51</f>
        <v>231</v>
      </c>
      <c r="D48" s="110">
        <f t="shared" si="15"/>
        <v>565</v>
      </c>
      <c r="E48" s="110">
        <f t="shared" si="15"/>
        <v>59</v>
      </c>
      <c r="F48" s="110">
        <f t="shared" si="15"/>
        <v>128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</row>
    <row r="49" spans="1:13" x14ac:dyDescent="0.25">
      <c r="A49" s="111" t="s">
        <v>197</v>
      </c>
      <c r="B49" s="110">
        <f>B53-B$51</f>
        <v>0.30685920577622028</v>
      </c>
      <c r="C49" s="110">
        <f t="shared" ref="C49:M49" si="16">C53-C$51</f>
        <v>68</v>
      </c>
      <c r="D49" s="110">
        <f t="shared" si="16"/>
        <v>115</v>
      </c>
      <c r="E49" s="110">
        <f t="shared" si="16"/>
        <v>226</v>
      </c>
      <c r="F49" s="110">
        <f t="shared" si="16"/>
        <v>558</v>
      </c>
      <c r="G49" s="110">
        <f t="shared" si="16"/>
        <v>204.56152651567595</v>
      </c>
      <c r="H49" s="110">
        <v>0</v>
      </c>
      <c r="I49" s="110">
        <f t="shared" si="16"/>
        <v>198.52099535474906</v>
      </c>
      <c r="J49" s="110">
        <v>0</v>
      </c>
      <c r="K49" s="110">
        <v>0</v>
      </c>
      <c r="L49" s="110">
        <v>0</v>
      </c>
      <c r="M49" s="110">
        <f t="shared" si="16"/>
        <v>396.31379526899696</v>
      </c>
    </row>
    <row r="50" spans="1:13" x14ac:dyDescent="0.25">
      <c r="A50" s="2"/>
      <c r="B50" s="2"/>
      <c r="C50" s="2"/>
    </row>
    <row r="51" spans="1:13" x14ac:dyDescent="0.25">
      <c r="A51" s="82" t="s">
        <v>2</v>
      </c>
      <c r="B51" s="40">
        <v>395</v>
      </c>
      <c r="C51" s="40">
        <v>268</v>
      </c>
      <c r="D51" s="40">
        <v>435</v>
      </c>
      <c r="E51" s="40">
        <v>239</v>
      </c>
      <c r="F51" s="40">
        <v>423</v>
      </c>
      <c r="G51" s="40">
        <v>836</v>
      </c>
      <c r="H51" s="40">
        <v>528</v>
      </c>
      <c r="I51" s="40">
        <v>391</v>
      </c>
      <c r="J51" s="39">
        <v>5909</v>
      </c>
      <c r="K51" s="39">
        <v>5545</v>
      </c>
      <c r="L51" s="39">
        <v>50</v>
      </c>
      <c r="M51" s="40">
        <v>817</v>
      </c>
    </row>
    <row r="52" spans="1:13" x14ac:dyDescent="0.25">
      <c r="A52" s="2"/>
      <c r="B52" s="2"/>
      <c r="C52" s="2"/>
    </row>
    <row r="53" spans="1:13" x14ac:dyDescent="0.25">
      <c r="A53" s="1" t="s">
        <v>18</v>
      </c>
      <c r="B53" s="133">
        <v>395.30685920577622</v>
      </c>
      <c r="C53" s="13">
        <v>336</v>
      </c>
      <c r="D53">
        <v>550</v>
      </c>
      <c r="E53" s="13">
        <v>465</v>
      </c>
      <c r="F53" s="13">
        <v>981</v>
      </c>
      <c r="G53" s="13">
        <v>1040.561526515676</v>
      </c>
      <c r="H53" s="13">
        <v>516.00713026188521</v>
      </c>
      <c r="I53" s="13">
        <v>589.52099535474906</v>
      </c>
      <c r="J53" s="13">
        <v>1712.2716627634659</v>
      </c>
      <c r="K53" s="13">
        <v>2045</v>
      </c>
      <c r="L53" s="42">
        <v>99</v>
      </c>
      <c r="M53" s="13">
        <v>1213.313795268997</v>
      </c>
    </row>
    <row r="54" spans="1:13" x14ac:dyDescent="0.25">
      <c r="A54" s="1" t="s">
        <v>16</v>
      </c>
      <c r="B54" s="134">
        <f>$B$53/2+$B$59/2</f>
        <v>560.65342960288808</v>
      </c>
      <c r="C54" s="43">
        <v>455</v>
      </c>
      <c r="D54" s="13">
        <v>826.18025751072969</v>
      </c>
      <c r="E54" s="43">
        <v>296</v>
      </c>
      <c r="F54" s="43">
        <v>218</v>
      </c>
      <c r="G54" s="13">
        <v>700.78513979318268</v>
      </c>
      <c r="H54" s="13">
        <v>1008.836794029441</v>
      </c>
      <c r="I54" s="13">
        <v>454.40011760598321</v>
      </c>
      <c r="J54" s="13">
        <v>5908.5714285714284</v>
      </c>
      <c r="K54" s="13">
        <v>3702.9177718832889</v>
      </c>
      <c r="L54" s="13">
        <v>99</v>
      </c>
      <c r="M54" s="13">
        <v>696.44015277077176</v>
      </c>
    </row>
    <row r="55" spans="1:13" x14ac:dyDescent="0.25">
      <c r="A55" t="s">
        <v>14</v>
      </c>
      <c r="B55" s="134">
        <f>$B$53/2+$B$59/2</f>
        <v>560.65342960288808</v>
      </c>
      <c r="C55" s="43">
        <v>620</v>
      </c>
      <c r="D55" s="13">
        <v>833.33333333333337</v>
      </c>
      <c r="E55" s="43">
        <v>244</v>
      </c>
      <c r="F55" s="43">
        <v>983</v>
      </c>
      <c r="G55" s="13">
        <v>910.44138078443939</v>
      </c>
      <c r="H55" s="13">
        <v>947.23127035830612</v>
      </c>
      <c r="I55" s="13">
        <v>663.06373462541933</v>
      </c>
      <c r="J55" s="13">
        <v>2936.1804212183674</v>
      </c>
      <c r="K55" s="13">
        <v>4197.2925699359503</v>
      </c>
      <c r="L55" s="13">
        <v>99</v>
      </c>
      <c r="M55" s="13">
        <v>1455.772113943028</v>
      </c>
    </row>
    <row r="56" spans="1:13" x14ac:dyDescent="0.25">
      <c r="A56" t="s">
        <v>12</v>
      </c>
      <c r="B56" s="134">
        <f>$B$53/2+$B$59/2</f>
        <v>560.65342960288808</v>
      </c>
      <c r="C56" s="43">
        <v>249</v>
      </c>
      <c r="D56" s="42">
        <f>AVERAGE(D53:D55,D57:D60)</f>
        <v>750.83245942715791</v>
      </c>
      <c r="E56" s="43">
        <v>192</v>
      </c>
      <c r="F56" s="43">
        <v>297</v>
      </c>
      <c r="G56" s="42">
        <f>AVERAGE(G53:G55,G57:G60)</f>
        <v>974.28470637441035</v>
      </c>
      <c r="H56" s="13">
        <v>410.8373188880949</v>
      </c>
      <c r="I56" s="13">
        <v>318.9842805320435</v>
      </c>
      <c r="J56" s="13">
        <v>2521.0004231112785</v>
      </c>
      <c r="K56" s="13">
        <v>4178.9525641749951</v>
      </c>
      <c r="L56" s="13">
        <v>99</v>
      </c>
      <c r="M56" s="13">
        <v>614.73536135044833</v>
      </c>
    </row>
    <row r="57" spans="1:13" x14ac:dyDescent="0.25">
      <c r="A57" t="s">
        <v>10</v>
      </c>
      <c r="B57" s="134">
        <f>$B$53/2+$B$59/2</f>
        <v>560.65342960288808</v>
      </c>
      <c r="C57" s="43">
        <v>249</v>
      </c>
      <c r="D57" s="13">
        <v>626.22549019607845</v>
      </c>
      <c r="E57" s="43">
        <v>247</v>
      </c>
      <c r="F57" s="43">
        <v>502</v>
      </c>
      <c r="G57" s="13">
        <v>1448.44989185292</v>
      </c>
      <c r="H57" s="13">
        <v>690.79003046716309</v>
      </c>
      <c r="I57" s="13">
        <v>411.76907178825491</v>
      </c>
      <c r="J57" s="13">
        <v>3553.7453812562981</v>
      </c>
      <c r="K57" s="13">
        <v>2862.3853211009182</v>
      </c>
      <c r="L57" s="13">
        <v>99</v>
      </c>
      <c r="M57" s="13">
        <v>789.76406915033374</v>
      </c>
    </row>
    <row r="58" spans="1:13" x14ac:dyDescent="0.25">
      <c r="A58" t="s">
        <v>8</v>
      </c>
      <c r="B58" s="134">
        <f>$B$53/2+$B$59/2</f>
        <v>560.65342960288808</v>
      </c>
      <c r="C58" s="43">
        <v>499</v>
      </c>
      <c r="D58" s="13">
        <v>1000</v>
      </c>
      <c r="E58" s="43">
        <v>298</v>
      </c>
      <c r="F58" s="43">
        <v>551</v>
      </c>
      <c r="G58" s="13">
        <v>286.09858950123601</v>
      </c>
      <c r="H58" s="13">
        <v>453.85999684607941</v>
      </c>
      <c r="I58" s="13">
        <v>199.22688076122509</v>
      </c>
      <c r="J58" s="13">
        <v>2381.8195687718071</v>
      </c>
      <c r="K58" s="13">
        <v>2970</v>
      </c>
      <c r="L58" s="13">
        <v>99</v>
      </c>
      <c r="M58" s="13">
        <v>585.36585365853659</v>
      </c>
    </row>
    <row r="59" spans="1:13" x14ac:dyDescent="0.25">
      <c r="A59" t="s">
        <v>6</v>
      </c>
      <c r="B59" s="135">
        <v>726</v>
      </c>
      <c r="C59" s="43">
        <v>671</v>
      </c>
      <c r="D59" s="13">
        <v>742.77016742770161</v>
      </c>
      <c r="E59" s="43">
        <v>163</v>
      </c>
      <c r="F59" s="43">
        <v>455</v>
      </c>
      <c r="G59" s="13">
        <v>1420.4185161699429</v>
      </c>
      <c r="H59" s="13">
        <v>538.23139428144009</v>
      </c>
      <c r="I59" s="13">
        <v>610.87321806059947</v>
      </c>
      <c r="J59" s="13">
        <v>2735.6439156752244</v>
      </c>
      <c r="K59" s="13">
        <v>3866.0252466842189</v>
      </c>
      <c r="L59" s="13">
        <v>99</v>
      </c>
      <c r="M59" s="13">
        <v>715.77629382303837</v>
      </c>
    </row>
    <row r="60" spans="1:13" x14ac:dyDescent="0.25">
      <c r="A60" s="1" t="s">
        <v>4</v>
      </c>
      <c r="B60" s="134">
        <f>$B$53/2+$B$59/2</f>
        <v>560.65342960288808</v>
      </c>
      <c r="C60" s="43">
        <v>456</v>
      </c>
      <c r="D60" s="13">
        <v>677.31796752226296</v>
      </c>
      <c r="E60" s="43">
        <v>307</v>
      </c>
      <c r="F60" s="43">
        <v>461</v>
      </c>
      <c r="G60" s="13">
        <v>1013.237900003475</v>
      </c>
      <c r="H60" s="13">
        <v>644.05517087133842</v>
      </c>
      <c r="I60" s="13">
        <v>510.0412339645693</v>
      </c>
      <c r="J60" s="13">
        <v>2194.1098646517871</v>
      </c>
      <c r="K60" s="13">
        <v>5544.9657838242802</v>
      </c>
      <c r="L60" s="13">
        <v>99</v>
      </c>
      <c r="M60" s="13">
        <v>586.23984710941238</v>
      </c>
    </row>
    <row r="62" spans="1:13" ht="14.5" x14ac:dyDescent="0.25">
      <c r="I62" s="118" t="s">
        <v>59</v>
      </c>
      <c r="J62" s="118" t="s">
        <v>301</v>
      </c>
      <c r="K62" s="118" t="s">
        <v>259</v>
      </c>
      <c r="M62" s="118" t="s">
        <v>71</v>
      </c>
    </row>
    <row r="63" spans="1:13" x14ac:dyDescent="0.25">
      <c r="A63" s="1" t="s">
        <v>18</v>
      </c>
      <c r="I63" s="13"/>
      <c r="J63" s="13">
        <v>1712.2716627634659</v>
      </c>
      <c r="K63" s="13">
        <v>2045</v>
      </c>
      <c r="M63" s="13"/>
    </row>
    <row r="64" spans="1:13" x14ac:dyDescent="0.25">
      <c r="A64" s="1" t="s">
        <v>16</v>
      </c>
      <c r="I64" s="13">
        <v>765.4320987654321</v>
      </c>
      <c r="J64" s="13">
        <v>5908.5714285714284</v>
      </c>
      <c r="K64" s="13">
        <v>3702.9177718832889</v>
      </c>
      <c r="M64" s="13">
        <v>1848.214285714286</v>
      </c>
    </row>
    <row r="65" spans="1:13" x14ac:dyDescent="0.25">
      <c r="A65" t="s">
        <v>14</v>
      </c>
      <c r="I65" s="13">
        <v>768.47501067919688</v>
      </c>
      <c r="J65" s="13">
        <v>2936.1804212183674</v>
      </c>
      <c r="K65" s="13">
        <v>4197.2925699359503</v>
      </c>
      <c r="M65" s="13">
        <v>0</v>
      </c>
    </row>
    <row r="66" spans="1:13" x14ac:dyDescent="0.25">
      <c r="A66" t="s">
        <v>12</v>
      </c>
      <c r="I66" s="13">
        <v>740</v>
      </c>
      <c r="J66" s="13">
        <v>2521.0004231112785</v>
      </c>
      <c r="K66" s="13">
        <v>4178.9525641749951</v>
      </c>
      <c r="M66" s="13">
        <v>102.4844720496894</v>
      </c>
    </row>
    <row r="67" spans="1:13" x14ac:dyDescent="0.25">
      <c r="A67" t="s">
        <v>10</v>
      </c>
      <c r="I67" s="13">
        <v>473.59183022179673</v>
      </c>
      <c r="J67" s="13">
        <v>3553.7453812562981</v>
      </c>
      <c r="K67" s="13">
        <v>2862.3853211009182</v>
      </c>
      <c r="M67" s="13">
        <v>295.72713643178412</v>
      </c>
    </row>
    <row r="68" spans="1:13" x14ac:dyDescent="0.25">
      <c r="A68" t="s">
        <v>8</v>
      </c>
      <c r="I68" s="13">
        <v>167.38815306102191</v>
      </c>
      <c r="J68" s="13">
        <v>2381.8195687718071</v>
      </c>
      <c r="K68" s="13">
        <v>2970</v>
      </c>
      <c r="M68" s="13">
        <v>1090.909090909091</v>
      </c>
    </row>
    <row r="69" spans="1:13" x14ac:dyDescent="0.25">
      <c r="A69" t="s">
        <v>6</v>
      </c>
      <c r="I69" s="13">
        <v>540.27504911591359</v>
      </c>
      <c r="J69" s="13">
        <v>2735.6439156752244</v>
      </c>
      <c r="K69" s="13">
        <v>3866.0252466842189</v>
      </c>
      <c r="M69" s="13">
        <v>826.40247879973913</v>
      </c>
    </row>
    <row r="70" spans="1:13" x14ac:dyDescent="0.25">
      <c r="A70" s="1" t="s">
        <v>4</v>
      </c>
      <c r="I70" s="13">
        <v>276.59574468085111</v>
      </c>
      <c r="J70" s="13">
        <v>2194.1098646517871</v>
      </c>
      <c r="K70" s="13">
        <v>5544.9657838242802</v>
      </c>
      <c r="M70" s="13">
        <v>474.32024169184302</v>
      </c>
    </row>
    <row r="72" spans="1:13" ht="14.5" x14ac:dyDescent="0.35">
      <c r="H72" s="143"/>
      <c r="I72" s="142"/>
    </row>
    <row r="73" spans="1:13" ht="14.5" x14ac:dyDescent="0.35">
      <c r="H73" s="143"/>
      <c r="I73" s="142"/>
    </row>
    <row r="74" spans="1:13" ht="14.5" x14ac:dyDescent="0.35">
      <c r="H74" s="143"/>
      <c r="I74" s="142"/>
    </row>
    <row r="75" spans="1:13" ht="14.5" x14ac:dyDescent="0.35">
      <c r="H75" s="143"/>
      <c r="I75" s="142"/>
    </row>
    <row r="76" spans="1:13" ht="14.5" x14ac:dyDescent="0.35">
      <c r="H76" s="143"/>
      <c r="I76" s="142"/>
    </row>
    <row r="77" spans="1:13" ht="14.5" x14ac:dyDescent="0.35">
      <c r="H77" s="143"/>
      <c r="I77" s="142"/>
    </row>
    <row r="78" spans="1:13" ht="14.5" x14ac:dyDescent="0.35">
      <c r="H78" s="143"/>
      <c r="I78" s="142"/>
    </row>
    <row r="79" spans="1:13" ht="14.5" x14ac:dyDescent="0.35">
      <c r="H79" s="143"/>
      <c r="I79" s="1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9"/>
  <sheetViews>
    <sheetView showGridLines="0" zoomScale="55" zoomScaleNormal="55" workbookViewId="0">
      <selection activeCell="U82" sqref="U82"/>
    </sheetView>
  </sheetViews>
  <sheetFormatPr defaultRowHeight="11.5" x14ac:dyDescent="0.25"/>
  <cols>
    <col min="1" max="1" width="14.26953125" customWidth="1"/>
    <col min="2" max="2" width="13.90625" customWidth="1"/>
    <col min="3" max="3" width="15.453125" customWidth="1"/>
    <col min="4" max="4" width="10.7265625" customWidth="1"/>
    <col min="5" max="5" width="14.08984375" customWidth="1"/>
    <col min="6" max="6" width="14.36328125" customWidth="1"/>
    <col min="7" max="7" width="18" customWidth="1"/>
    <col min="16" max="16" width="10.08984375" customWidth="1"/>
    <col min="17" max="17" width="9.453125" customWidth="1"/>
    <col min="25" max="29" width="8.90625" bestFit="1" customWidth="1"/>
    <col min="31" max="31" width="9.453125" bestFit="1" customWidth="1"/>
    <col min="32" max="36" width="8.90625" bestFit="1" customWidth="1"/>
    <col min="38" max="38" width="8.90625" bestFit="1" customWidth="1"/>
    <col min="39" max="39" width="9.453125" bestFit="1" customWidth="1"/>
  </cols>
  <sheetData>
    <row r="1" spans="1:39" ht="19.5" x14ac:dyDescent="0.35">
      <c r="A1" s="8" t="s">
        <v>178</v>
      </c>
    </row>
    <row r="2" spans="1:39" x14ac:dyDescent="0.25">
      <c r="A2" s="6" t="s">
        <v>177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9" x14ac:dyDescent="0.25">
      <c r="A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9" ht="12" thickBot="1" x14ac:dyDescent="0.3">
      <c r="A4" s="81" t="s">
        <v>176</v>
      </c>
      <c r="B4" s="80"/>
      <c r="C4" s="80"/>
      <c r="D4" s="79"/>
      <c r="F4" s="2"/>
      <c r="G4" s="2"/>
      <c r="H4" s="2"/>
      <c r="I4" s="2"/>
      <c r="J4" s="127"/>
      <c r="K4" s="2"/>
      <c r="L4" s="2"/>
      <c r="M4" s="2"/>
      <c r="N4" s="2"/>
      <c r="O4" s="2"/>
      <c r="P4" s="2"/>
      <c r="Q4" s="2"/>
      <c r="R4" s="2"/>
      <c r="S4" s="2"/>
      <c r="T4" s="2"/>
      <c r="W4" s="2" t="s">
        <v>174</v>
      </c>
      <c r="X4" s="46" t="s">
        <v>21</v>
      </c>
      <c r="Y4" s="22" t="s">
        <v>122</v>
      </c>
      <c r="Z4" s="22" t="s">
        <v>121</v>
      </c>
      <c r="AA4" s="22" t="s">
        <v>120</v>
      </c>
      <c r="AB4" s="22" t="s">
        <v>119</v>
      </c>
      <c r="AC4" s="22" t="s">
        <v>118</v>
      </c>
      <c r="AD4" s="22" t="s">
        <v>117</v>
      </c>
      <c r="AE4" s="22" t="s">
        <v>116</v>
      </c>
      <c r="AF4" s="22" t="s">
        <v>115</v>
      </c>
      <c r="AG4" s="22" t="s">
        <v>114</v>
      </c>
      <c r="AH4" s="22" t="s">
        <v>113</v>
      </c>
      <c r="AI4" s="22" t="s">
        <v>112</v>
      </c>
    </row>
    <row r="5" spans="1:39" x14ac:dyDescent="0.25">
      <c r="A5" s="44" t="s">
        <v>173</v>
      </c>
      <c r="B5" s="44"/>
      <c r="C5" s="44"/>
      <c r="D5" s="7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73"/>
      <c r="V5" s="73"/>
      <c r="X5" s="1" t="s">
        <v>18</v>
      </c>
      <c r="Y5" s="13">
        <v>314</v>
      </c>
      <c r="Z5" s="13">
        <v>337</v>
      </c>
      <c r="AA5" s="13">
        <v>328</v>
      </c>
      <c r="AB5" s="13">
        <v>466</v>
      </c>
      <c r="AC5" s="13">
        <v>982</v>
      </c>
      <c r="AD5" s="13">
        <v>1300</v>
      </c>
      <c r="AE5" s="13">
        <v>500</v>
      </c>
      <c r="AF5" s="13">
        <v>423</v>
      </c>
      <c r="AG5" s="42">
        <v>3500</v>
      </c>
      <c r="AH5" s="42">
        <v>50</v>
      </c>
      <c r="AI5" s="41">
        <v>281</v>
      </c>
    </row>
    <row r="6" spans="1:39" x14ac:dyDescent="0.25">
      <c r="A6" s="44" t="s">
        <v>172</v>
      </c>
      <c r="B6" s="44"/>
      <c r="C6" s="44"/>
      <c r="D6" s="7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73"/>
      <c r="V6" s="73"/>
      <c r="X6" t="s">
        <v>14</v>
      </c>
      <c r="Y6" s="43">
        <v>326</v>
      </c>
      <c r="Z6" s="43">
        <v>621</v>
      </c>
      <c r="AA6" s="43">
        <v>457</v>
      </c>
      <c r="AB6" s="43">
        <v>245</v>
      </c>
      <c r="AC6" s="43">
        <v>984</v>
      </c>
      <c r="AD6" s="41">
        <v>1128</v>
      </c>
      <c r="AE6" s="41">
        <v>988</v>
      </c>
      <c r="AF6" s="41">
        <v>522</v>
      </c>
      <c r="AG6" s="13">
        <v>3500</v>
      </c>
      <c r="AH6" s="13">
        <v>50</v>
      </c>
      <c r="AI6" s="41">
        <v>562</v>
      </c>
    </row>
    <row r="7" spans="1:39" x14ac:dyDescent="0.25">
      <c r="A7" s="44" t="s">
        <v>171</v>
      </c>
      <c r="B7" s="44"/>
      <c r="C7" s="44"/>
      <c r="D7" s="7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73"/>
      <c r="V7" s="73"/>
      <c r="X7" t="s">
        <v>12</v>
      </c>
      <c r="Y7" s="41">
        <v>163</v>
      </c>
      <c r="Z7" s="43">
        <v>250</v>
      </c>
      <c r="AA7" s="43">
        <v>390</v>
      </c>
      <c r="AB7" s="43">
        <v>193</v>
      </c>
      <c r="AC7" s="43">
        <v>298</v>
      </c>
      <c r="AD7" s="42">
        <v>1155.6666666666667</v>
      </c>
      <c r="AE7" s="41">
        <v>179</v>
      </c>
      <c r="AF7" s="41">
        <v>484</v>
      </c>
      <c r="AG7" s="13">
        <v>3500</v>
      </c>
      <c r="AH7" s="13">
        <v>50</v>
      </c>
      <c r="AI7" s="41">
        <v>754</v>
      </c>
    </row>
    <row r="8" spans="1:39" x14ac:dyDescent="0.25">
      <c r="A8" s="44" t="s">
        <v>170</v>
      </c>
      <c r="B8" s="44"/>
      <c r="C8" s="44"/>
      <c r="D8" s="7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73"/>
      <c r="V8" s="73"/>
      <c r="X8" t="s">
        <v>8</v>
      </c>
      <c r="Y8" s="42">
        <v>326</v>
      </c>
      <c r="Z8" s="43">
        <v>500</v>
      </c>
      <c r="AA8" s="43">
        <v>212</v>
      </c>
      <c r="AB8" s="43">
        <v>299</v>
      </c>
      <c r="AC8" s="43">
        <v>552</v>
      </c>
      <c r="AD8" s="42">
        <v>1155.6666666666667</v>
      </c>
      <c r="AE8" s="42">
        <v>795.5</v>
      </c>
      <c r="AF8" s="42">
        <v>552.25</v>
      </c>
      <c r="AG8" s="13">
        <v>3500</v>
      </c>
      <c r="AH8" s="13">
        <v>50</v>
      </c>
      <c r="AI8" s="41">
        <v>407</v>
      </c>
    </row>
    <row r="9" spans="1:39" x14ac:dyDescent="0.25">
      <c r="A9" s="73" t="s">
        <v>161</v>
      </c>
      <c r="B9" s="44"/>
      <c r="C9" s="44"/>
      <c r="D9" s="78"/>
      <c r="F9" s="2"/>
      <c r="G9" s="2"/>
      <c r="H9" s="2"/>
      <c r="I9" s="2"/>
      <c r="J9" s="2"/>
      <c r="K9" s="52"/>
      <c r="L9" s="52"/>
      <c r="M9" s="52"/>
      <c r="N9" s="52"/>
      <c r="O9" s="52"/>
      <c r="P9" s="52"/>
      <c r="Q9" s="52"/>
      <c r="R9" s="2"/>
      <c r="S9" s="2"/>
      <c r="T9" s="2"/>
      <c r="U9" s="73"/>
      <c r="V9" s="73"/>
      <c r="X9" t="s">
        <v>6</v>
      </c>
      <c r="Y9" s="41">
        <v>727</v>
      </c>
      <c r="Z9" s="43">
        <v>672</v>
      </c>
      <c r="AA9" s="43">
        <v>790</v>
      </c>
      <c r="AB9" s="43">
        <v>164</v>
      </c>
      <c r="AC9" s="43">
        <v>456</v>
      </c>
      <c r="AD9" s="42">
        <v>1155.6666666666667</v>
      </c>
      <c r="AE9" s="41">
        <v>1515</v>
      </c>
      <c r="AF9" s="41">
        <v>780</v>
      </c>
      <c r="AG9" s="13">
        <v>3500</v>
      </c>
      <c r="AH9" s="13">
        <v>50</v>
      </c>
      <c r="AI9" s="41">
        <v>801</v>
      </c>
    </row>
    <row r="10" spans="1:39" x14ac:dyDescent="0.25">
      <c r="B10" s="44"/>
      <c r="C10" s="44"/>
      <c r="D10" s="7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73"/>
      <c r="V10" s="73"/>
      <c r="X10" s="37" t="s">
        <v>4</v>
      </c>
      <c r="Y10" s="38">
        <v>382.5</v>
      </c>
      <c r="Z10" s="40">
        <v>457</v>
      </c>
      <c r="AA10" s="38">
        <v>435.4</v>
      </c>
      <c r="AB10" s="40">
        <v>308</v>
      </c>
      <c r="AC10" s="40">
        <v>462</v>
      </c>
      <c r="AD10" s="40">
        <v>1039</v>
      </c>
      <c r="AE10" s="38">
        <v>795.5</v>
      </c>
      <c r="AF10" s="38">
        <v>552.25</v>
      </c>
      <c r="AG10" s="13">
        <v>3500</v>
      </c>
      <c r="AH10" s="13">
        <v>50</v>
      </c>
      <c r="AI10" s="38">
        <v>544</v>
      </c>
    </row>
    <row r="11" spans="1:39" ht="12" thickBot="1" x14ac:dyDescent="0.3">
      <c r="A11" s="44" t="s">
        <v>169</v>
      </c>
      <c r="B11" s="44"/>
      <c r="C11" s="44"/>
      <c r="D11" s="78"/>
      <c r="F11" s="2"/>
      <c r="G11" s="2"/>
      <c r="H11" s="12" t="s">
        <v>264</v>
      </c>
      <c r="I11" s="1"/>
      <c r="K11" s="12" t="s">
        <v>159</v>
      </c>
      <c r="U11" s="73"/>
      <c r="V11" s="73"/>
      <c r="X11" s="20" t="s">
        <v>73</v>
      </c>
      <c r="Y11" s="20" t="s">
        <v>73</v>
      </c>
      <c r="Z11" s="20" t="s">
        <v>72</v>
      </c>
      <c r="AA11" s="20" t="s">
        <v>71</v>
      </c>
      <c r="AB11" s="20" t="s">
        <v>70</v>
      </c>
      <c r="AC11" s="20" t="s">
        <v>69</v>
      </c>
      <c r="AD11" s="22" t="s">
        <v>68</v>
      </c>
      <c r="AE11" s="22" t="s">
        <v>67</v>
      </c>
      <c r="AF11" s="22" t="s">
        <v>66</v>
      </c>
      <c r="AG11" s="22" t="s">
        <v>65</v>
      </c>
      <c r="AH11" s="22" t="s">
        <v>64</v>
      </c>
      <c r="AI11" s="22" t="s">
        <v>63</v>
      </c>
      <c r="AJ11" s="22" t="s">
        <v>62</v>
      </c>
      <c r="AK11" s="22" t="s">
        <v>61</v>
      </c>
      <c r="AL11" s="22" t="s">
        <v>60</v>
      </c>
      <c r="AM11" t="s">
        <v>59</v>
      </c>
    </row>
    <row r="12" spans="1:39" x14ac:dyDescent="0.25">
      <c r="A12" s="44" t="s">
        <v>168</v>
      </c>
      <c r="B12" s="44"/>
      <c r="C12" s="44"/>
      <c r="D12" s="78"/>
      <c r="F12" s="2"/>
      <c r="G12" s="2"/>
      <c r="H12" s="68"/>
      <c r="I12" s="2"/>
      <c r="J12" s="23" t="s">
        <v>122</v>
      </c>
      <c r="K12" s="23" t="s">
        <v>121</v>
      </c>
      <c r="L12" s="23" t="s">
        <v>120</v>
      </c>
      <c r="M12" s="2" t="s">
        <v>119</v>
      </c>
      <c r="N12" s="23" t="s">
        <v>118</v>
      </c>
      <c r="O12" s="23" t="s">
        <v>117</v>
      </c>
      <c r="P12" s="2" t="s">
        <v>116</v>
      </c>
      <c r="Q12" s="23" t="s">
        <v>115</v>
      </c>
      <c r="R12" s="23" t="s">
        <v>114</v>
      </c>
      <c r="S12" s="23" t="s">
        <v>113</v>
      </c>
      <c r="T12" s="23" t="s">
        <v>112</v>
      </c>
      <c r="U12" s="73"/>
      <c r="V12" s="73"/>
      <c r="X12" s="1" t="s">
        <v>18</v>
      </c>
      <c r="Y12" s="13">
        <f>[1]Yields!C23*Z5</f>
        <v>586.07670000000007</v>
      </c>
      <c r="Z12" s="13">
        <f>[1]Yields!D23*AB5</f>
        <v>523.50440000000003</v>
      </c>
      <c r="AA12" s="13">
        <f>[1]Yields!E23*AI5</f>
        <v>2185.5617999999999</v>
      </c>
      <c r="AB12" s="13">
        <f>[1]Yields!F23*AH5</f>
        <v>1962.33</v>
      </c>
      <c r="AC12" s="13">
        <f>[1]Yields!G23*AE5</f>
        <v>1000</v>
      </c>
      <c r="AD12" s="13"/>
      <c r="AE12" s="13">
        <f>AA5*[1]Yields!I23</f>
        <v>9626.4392000000007</v>
      </c>
      <c r="AF12" s="13">
        <f>[1]Yields!J23*Z5</f>
        <v>137.86670000000001</v>
      </c>
      <c r="AG12" s="13">
        <f>[1]Yields!K23*AD5</f>
        <v>667.16</v>
      </c>
      <c r="AH12" s="13">
        <f>[1]Yields!M23*AC5</f>
        <v>842.06500000000005</v>
      </c>
      <c r="AI12" s="13">
        <f>[1]Yields!N23*AG5</f>
        <v>1190</v>
      </c>
      <c r="AJ12" s="13">
        <f>Y5*AJ24</f>
        <v>5281.040399999998</v>
      </c>
      <c r="AK12" s="13"/>
      <c r="AL12" s="13">
        <f>[1]Yields!R23*AC5</f>
        <v>783.34140000000002</v>
      </c>
      <c r="AM12" s="13">
        <f>[1]Yields!S23*AF5</f>
        <v>3698.0774999999999</v>
      </c>
    </row>
    <row r="13" spans="1:39" x14ac:dyDescent="0.25">
      <c r="A13" s="44" t="s">
        <v>167</v>
      </c>
      <c r="B13" s="44"/>
      <c r="C13" s="44"/>
      <c r="D13" s="78"/>
      <c r="F13" s="2"/>
      <c r="G13" s="2"/>
      <c r="H13" s="1" t="s">
        <v>17</v>
      </c>
      <c r="I13" s="126">
        <v>3.3544303797468353E-2</v>
      </c>
      <c r="J13" s="129">
        <f>$I13*J24</f>
        <v>0.40769746835443038</v>
      </c>
      <c r="K13" s="129">
        <f t="shared" ref="K13:T13" si="0">$I13*K24</f>
        <v>2.8412025316455695E-2</v>
      </c>
      <c r="L13" s="129">
        <f t="shared" si="0"/>
        <v>0.10036455696202531</v>
      </c>
      <c r="M13" s="129">
        <f t="shared" si="0"/>
        <v>3.9179746835443036E-2</v>
      </c>
      <c r="N13" s="129">
        <f t="shared" si="0"/>
        <v>7.5810126582278479E-3</v>
      </c>
      <c r="O13" s="129">
        <f t="shared" si="0"/>
        <v>7.4468354430379741E-3</v>
      </c>
      <c r="P13" s="129">
        <f t="shared" si="0"/>
        <v>1.0130379746835443E-2</v>
      </c>
      <c r="Q13" s="129">
        <f t="shared" si="0"/>
        <v>5.6086075949367084E-2</v>
      </c>
      <c r="R13" s="129">
        <f t="shared" si="0"/>
        <v>9.7278481012658233E-4</v>
      </c>
      <c r="S13" s="129">
        <f t="shared" si="0"/>
        <v>2.8646835443037973E-2</v>
      </c>
      <c r="T13" s="129">
        <f t="shared" si="0"/>
        <v>4.9175949367088606E-2</v>
      </c>
      <c r="U13" s="73"/>
      <c r="V13" s="73"/>
      <c r="X13" t="s">
        <v>14</v>
      </c>
      <c r="Y13" s="13">
        <f>[1]Yields!C24*Z6</f>
        <v>1426.3128000000002</v>
      </c>
      <c r="Z13" s="13">
        <f>[1]Yields!D24*AB6</f>
        <v>650.40150000000006</v>
      </c>
      <c r="AA13" s="13">
        <f>[1]Yields!E24*AI6</f>
        <v>1846.2262000000001</v>
      </c>
      <c r="AB13" s="13">
        <f>[1]Yields!F24*AH6</f>
        <v>5500</v>
      </c>
      <c r="AC13" s="13">
        <f>[1]Yields!G24*AE6</f>
        <v>2100.3892000000001</v>
      </c>
      <c r="AD13" s="13"/>
      <c r="AE13" s="13">
        <f>AA6*[1]Yields!I24</f>
        <v>12972.356299999999</v>
      </c>
      <c r="AF13" s="13">
        <f>[1]Yields!J24*Z6</f>
        <v>628.38990000000001</v>
      </c>
      <c r="AG13" s="13">
        <f>[1]Yields!K24*AD6</f>
        <v>713.12159999999994</v>
      </c>
      <c r="AH13" s="13">
        <f>[1]Yields!M24*AC6</f>
        <v>1066.9512</v>
      </c>
      <c r="AI13" s="13">
        <f>[1]Yields!N24*AG6</f>
        <v>7665</v>
      </c>
      <c r="AJ13" s="13">
        <f>Y6*AJ25</f>
        <v>10013.422520000002</v>
      </c>
      <c r="AK13" s="13"/>
      <c r="AL13" s="13">
        <f>[1]Yields!R24*AC6</f>
        <v>1040.2847999999999</v>
      </c>
      <c r="AM13" s="13">
        <f>[1]Yields!S24*AF6</f>
        <v>9156.6108000000004</v>
      </c>
    </row>
    <row r="14" spans="1:39" x14ac:dyDescent="0.25">
      <c r="A14" s="44" t="s">
        <v>166</v>
      </c>
      <c r="B14" s="44"/>
      <c r="C14" s="44"/>
      <c r="D14" s="78"/>
      <c r="F14" s="2"/>
      <c r="G14" s="2"/>
      <c r="H14" s="1" t="s">
        <v>15</v>
      </c>
      <c r="I14" s="61">
        <v>1.0625000000000001E-2</v>
      </c>
      <c r="J14" s="129">
        <f t="shared" ref="J14:T20" si="1">$I14*J25</f>
        <v>0</v>
      </c>
      <c r="K14" s="129">
        <f t="shared" si="1"/>
        <v>1.5512500000000001E-3</v>
      </c>
      <c r="L14" s="129">
        <f t="shared" si="1"/>
        <v>9.7750000000000007E-4</v>
      </c>
      <c r="M14" s="129">
        <f t="shared" si="1"/>
        <v>9.3499999999999996E-4</v>
      </c>
      <c r="N14" s="129">
        <f t="shared" si="1"/>
        <v>2.3374999999999999E-4</v>
      </c>
      <c r="O14" s="129">
        <f t="shared" si="1"/>
        <v>9.5624999999999993E-5</v>
      </c>
      <c r="P14" s="129">
        <f t="shared" si="1"/>
        <v>2.2312500000000004E-4</v>
      </c>
      <c r="Q14" s="129">
        <f t="shared" si="1"/>
        <v>2.3374999999999999E-4</v>
      </c>
      <c r="R14" s="129">
        <f t="shared" si="1"/>
        <v>4.2500000000000003E-5</v>
      </c>
      <c r="S14" s="129">
        <f t="shared" si="1"/>
        <v>7.5437499999999995E-4</v>
      </c>
      <c r="T14" s="129">
        <f t="shared" si="1"/>
        <v>7.7562500000000006E-4</v>
      </c>
      <c r="U14" s="73"/>
      <c r="V14" s="73"/>
      <c r="X14" t="s">
        <v>12</v>
      </c>
      <c r="Y14" s="13">
        <f>[1]Yields!C25*Z7</f>
        <v>426.05</v>
      </c>
      <c r="Z14" s="13">
        <f>[1]Yields!D25*AB7</f>
        <v>289.11399999999998</v>
      </c>
      <c r="AA14" s="13">
        <f>[1]Yields!E25*AI7</f>
        <v>4674.8</v>
      </c>
      <c r="AB14" s="13">
        <f>[1]Yields!F25*AH7</f>
        <v>3976.7850000000003</v>
      </c>
      <c r="AC14" s="13">
        <f>[1]Yields!G25*AE7</f>
        <v>203.45140000000001</v>
      </c>
      <c r="AD14" s="13"/>
      <c r="AE14" s="13">
        <f>AA7*[1]Yields!I25</f>
        <v>3461.25</v>
      </c>
      <c r="AF14" s="13">
        <f>[1]Yields!J25*Z7</f>
        <v>165.625</v>
      </c>
      <c r="AG14" s="13">
        <f>[1]Yields!K25*AD7</f>
        <v>639.43036666666671</v>
      </c>
      <c r="AH14" s="13">
        <f>AH26*AC7</f>
        <v>456.61467199999987</v>
      </c>
      <c r="AI14" s="13">
        <f>[1]Yields!N25*AG7</f>
        <v>4725</v>
      </c>
      <c r="AJ14" s="13">
        <f t="shared" ref="AJ14:AJ17" si="2">Y7*AJ26</f>
        <v>1877.6002600000002</v>
      </c>
      <c r="AK14" s="13"/>
      <c r="AL14" s="13">
        <f>[1]Yields!R25*AC7</f>
        <v>172.8698</v>
      </c>
      <c r="AM14" s="13">
        <f>[1]Yields!S25*AF7</f>
        <v>8228</v>
      </c>
    </row>
    <row r="15" spans="1:39" x14ac:dyDescent="0.25">
      <c r="A15" s="44" t="s">
        <v>165</v>
      </c>
      <c r="B15" s="44"/>
      <c r="C15" s="44"/>
      <c r="D15" s="78"/>
      <c r="F15" s="2"/>
      <c r="G15" s="2"/>
      <c r="H15" t="s">
        <v>13</v>
      </c>
      <c r="I15" s="61">
        <v>0.78473282442748094</v>
      </c>
      <c r="J15" s="129">
        <f t="shared" si="1"/>
        <v>3.2801832061068699</v>
      </c>
      <c r="K15" s="129">
        <f t="shared" si="1"/>
        <v>0.18912061068702291</v>
      </c>
      <c r="L15" s="129">
        <f t="shared" si="1"/>
        <v>0.84123358778625956</v>
      </c>
      <c r="M15" s="129">
        <f t="shared" si="1"/>
        <v>2.4358106870229008</v>
      </c>
      <c r="N15" s="129">
        <f t="shared" si="1"/>
        <v>0.25268396946564886</v>
      </c>
      <c r="O15" s="129">
        <f t="shared" si="1"/>
        <v>0.32330992366412215</v>
      </c>
      <c r="P15" s="129">
        <f t="shared" si="1"/>
        <v>6.2778625954198475E-2</v>
      </c>
      <c r="Q15" s="129">
        <f t="shared" si="1"/>
        <v>2.9121435114503815</v>
      </c>
      <c r="R15" s="129">
        <f t="shared" si="1"/>
        <v>6.2778625954198475E-3</v>
      </c>
      <c r="S15" s="129">
        <f t="shared" si="1"/>
        <v>2.2278564885496182</v>
      </c>
      <c r="T15" s="129">
        <f t="shared" si="1"/>
        <v>0.27465648854961833</v>
      </c>
      <c r="U15" s="73"/>
      <c r="V15" s="73"/>
      <c r="X15" t="s">
        <v>8</v>
      </c>
      <c r="Y15" s="13">
        <f>[1]Yields!C26*Z8</f>
        <v>1441.8999999999999</v>
      </c>
      <c r="Z15" s="13">
        <f>[1]Yields!D26*AB8</f>
        <v>937.63409999999999</v>
      </c>
      <c r="AA15" s="13">
        <f>[1]Yields!E26*AI8</f>
        <v>2773.6235999999999</v>
      </c>
      <c r="AB15" s="13">
        <f>[1]Yields!F26*AH8</f>
        <v>5904.76</v>
      </c>
      <c r="AC15" s="13">
        <f>[1]Yields!G26*AE8</f>
        <v>2178.2381</v>
      </c>
      <c r="AD15" s="13"/>
      <c r="AE15" s="13">
        <f>AA8*[1]Yields!I26</f>
        <v>1679.146</v>
      </c>
      <c r="AF15" s="13">
        <f>[1]Yields!J26*Z8</f>
        <v>645.70000000000005</v>
      </c>
      <c r="AG15" s="13">
        <f>[1]Yields!K26*AD8</f>
        <v>1235.0609666666667</v>
      </c>
      <c r="AH15" s="13">
        <f>[1]Yields!M26*AC8</f>
        <v>717.6</v>
      </c>
      <c r="AI15" s="13">
        <f>[1]Yields!N26*AG8</f>
        <v>7455</v>
      </c>
      <c r="AJ15" s="13">
        <f t="shared" si="2"/>
        <v>2581.0789199999999</v>
      </c>
      <c r="AK15" s="13"/>
      <c r="AL15" s="13">
        <f>[1]Yields!R26*AC8</f>
        <v>833.5752</v>
      </c>
      <c r="AM15" s="13">
        <f>[1]Yields!S26*AF8</f>
        <v>5061.4264750000002</v>
      </c>
    </row>
    <row r="16" spans="1:39" x14ac:dyDescent="0.25">
      <c r="A16" s="44" t="s">
        <v>164</v>
      </c>
      <c r="B16" s="44"/>
      <c r="C16" s="44"/>
      <c r="D16" s="78"/>
      <c r="F16" s="2"/>
      <c r="G16" s="2"/>
      <c r="H16" t="s">
        <v>11</v>
      </c>
      <c r="I16" s="61">
        <v>0.13</v>
      </c>
      <c r="J16" s="129">
        <f t="shared" si="1"/>
        <v>1.03363</v>
      </c>
      <c r="K16" s="129">
        <f t="shared" si="1"/>
        <v>0.10426000000000001</v>
      </c>
      <c r="L16" s="129">
        <f t="shared" si="1"/>
        <v>8.294E-2</v>
      </c>
      <c r="M16" s="129">
        <f t="shared" si="1"/>
        <v>0.24206000000000003</v>
      </c>
      <c r="N16" s="129">
        <f t="shared" si="1"/>
        <v>3.5490000000000001E-2</v>
      </c>
      <c r="O16" s="129">
        <f t="shared" si="1"/>
        <v>5.1740000000000001E-2</v>
      </c>
      <c r="P16" s="129">
        <f t="shared" si="1"/>
        <v>7.3579999999999993E-2</v>
      </c>
      <c r="Q16" s="129">
        <f t="shared" si="1"/>
        <v>0.14183000000000001</v>
      </c>
      <c r="R16" s="129">
        <f t="shared" si="1"/>
        <v>3.2500000000000003E-3</v>
      </c>
      <c r="S16" s="129">
        <f t="shared" si="1"/>
        <v>0.42419000000000001</v>
      </c>
      <c r="T16" s="129">
        <f t="shared" si="1"/>
        <v>6.2010000000000003E-2</v>
      </c>
      <c r="X16" t="s">
        <v>6</v>
      </c>
      <c r="Y16" s="13">
        <f>[1]Yields!C27*Z9</f>
        <v>6678.8064000000004</v>
      </c>
      <c r="Z16" s="13">
        <f>[1]Yields!D27*AB9</f>
        <v>497.084</v>
      </c>
      <c r="AA16" s="13">
        <f>[1]Yields!E27*AI9</f>
        <v>6307.875</v>
      </c>
      <c r="AB16" s="13">
        <f>[1]Yields!F27*AH9</f>
        <v>5357.1449999999995</v>
      </c>
      <c r="AC16" s="13">
        <f>[1]Yields!G27*AE9</f>
        <v>2723.0610000000001</v>
      </c>
      <c r="AD16" s="13"/>
      <c r="AE16" s="13">
        <f>AA9*[1]Yields!I27</f>
        <v>3357.5</v>
      </c>
      <c r="AF16" s="13">
        <f>[1]Yields!J27*Z9</f>
        <v>657.68640000000005</v>
      </c>
      <c r="AG16" s="13">
        <f>[1]Yields!K27*AD9</f>
        <v>0</v>
      </c>
      <c r="AH16" s="13">
        <f>[1]Yields!M27*AC9</f>
        <v>1091.7095999999999</v>
      </c>
      <c r="AI16" s="13">
        <f>[1]Yields!N27*AG9</f>
        <v>4094.9999999999995</v>
      </c>
      <c r="AJ16" s="13">
        <f t="shared" si="2"/>
        <v>5921.6476400000001</v>
      </c>
      <c r="AK16" s="13"/>
      <c r="AL16" s="13">
        <f>[1]Yields!R27*AC9</f>
        <v>607.52880000000005</v>
      </c>
      <c r="AM16" s="13">
        <f>[1]Yields!S27*AF9</f>
        <v>14611.818000000001</v>
      </c>
    </row>
    <row r="17" spans="1:48" x14ac:dyDescent="0.25">
      <c r="A17" s="44" t="s">
        <v>163</v>
      </c>
      <c r="B17" s="44"/>
      <c r="C17" s="44"/>
      <c r="D17" s="78"/>
      <c r="F17" s="2"/>
      <c r="G17" s="2"/>
      <c r="H17" t="s">
        <v>9</v>
      </c>
      <c r="I17" s="61">
        <v>5.5E-2</v>
      </c>
      <c r="J17" s="129">
        <f t="shared" si="1"/>
        <v>0</v>
      </c>
      <c r="K17" s="129">
        <f t="shared" si="1"/>
        <v>7.4250000000000002E-3</v>
      </c>
      <c r="L17" s="129">
        <f t="shared" si="1"/>
        <v>2.8049999999999998E-3</v>
      </c>
      <c r="M17" s="129">
        <f t="shared" si="1"/>
        <v>7.1500000000000001E-3</v>
      </c>
      <c r="N17" s="129">
        <f t="shared" si="1"/>
        <v>8.25E-4</v>
      </c>
      <c r="O17" s="129">
        <f t="shared" si="1"/>
        <v>1.0449999999999999E-3</v>
      </c>
      <c r="P17" s="129">
        <f t="shared" si="1"/>
        <v>4.95E-4</v>
      </c>
      <c r="Q17" s="129">
        <f t="shared" si="1"/>
        <v>1.98E-3</v>
      </c>
      <c r="R17" s="129">
        <f t="shared" si="1"/>
        <v>3.3E-4</v>
      </c>
      <c r="S17" s="129">
        <f t="shared" si="1"/>
        <v>2.0899999999999998E-3</v>
      </c>
      <c r="T17" s="129">
        <f t="shared" si="1"/>
        <v>3.7400000000000003E-3</v>
      </c>
      <c r="X17" s="37" t="s">
        <v>4</v>
      </c>
      <c r="Y17" s="39">
        <f>[1]Yields!C28*Z10</f>
        <v>2559.1999999999998</v>
      </c>
      <c r="Z17" s="39">
        <f>[1]Yields!D28*AB10</f>
        <v>399.322</v>
      </c>
      <c r="AA17" s="39">
        <f>[1]Yields!E28*AI10</f>
        <v>3916.8</v>
      </c>
      <c r="AB17" s="39">
        <f>[1]Yields!F28*AH10</f>
        <v>5652.1299999999992</v>
      </c>
      <c r="AC17" s="39">
        <f>[1]Yields!G28*AE10</f>
        <v>1920.1779000000001</v>
      </c>
      <c r="AD17" s="39"/>
      <c r="AE17" s="39">
        <f>AA10*[1]Yields!I28</f>
        <v>2984.0138999999999</v>
      </c>
      <c r="AF17" s="39">
        <f>[1]Yields!J28*Z10</f>
        <v>283.02009999999996</v>
      </c>
      <c r="AG17" s="39">
        <f>[1]Yields!K28*AD10</f>
        <v>860.08420000000001</v>
      </c>
      <c r="AH17" s="39">
        <f>[1]Yields!M28*AC10</f>
        <v>1053.3599999999999</v>
      </c>
      <c r="AI17" s="39">
        <f>[1]Yields!N28*AG10</f>
        <v>6965</v>
      </c>
      <c r="AJ17" s="13">
        <f t="shared" si="2"/>
        <v>2479.2655500000005</v>
      </c>
      <c r="AK17" s="39"/>
      <c r="AL17" s="39">
        <f>[1]Yields!R28*AC10</f>
        <v>380.3646</v>
      </c>
      <c r="AM17" s="39">
        <f>[1]Yields!S28*AF10</f>
        <v>9491.796875</v>
      </c>
    </row>
    <row r="18" spans="1:48" x14ac:dyDescent="0.25">
      <c r="A18" s="77"/>
      <c r="B18" s="77"/>
      <c r="C18" s="77"/>
      <c r="D18" s="76"/>
      <c r="F18" s="2"/>
      <c r="G18" s="2"/>
      <c r="H18" t="s">
        <v>7</v>
      </c>
      <c r="I18" s="61">
        <v>3.2460732984293188E-2</v>
      </c>
      <c r="J18" s="129">
        <f t="shared" si="1"/>
        <v>0.16710785340314133</v>
      </c>
      <c r="K18" s="129">
        <f t="shared" si="1"/>
        <v>5.881884816753926E-2</v>
      </c>
      <c r="L18" s="129">
        <f t="shared" si="1"/>
        <v>0.15347434554973818</v>
      </c>
      <c r="M18" s="129">
        <f t="shared" si="1"/>
        <v>0.13760104712041882</v>
      </c>
      <c r="N18" s="129">
        <f t="shared" si="1"/>
        <v>3.2460732984293188E-2</v>
      </c>
      <c r="O18" s="129">
        <f t="shared" si="1"/>
        <v>3.8336125654450257E-2</v>
      </c>
      <c r="P18" s="129">
        <f t="shared" si="1"/>
        <v>3.4700523560209418E-2</v>
      </c>
      <c r="Q18" s="129">
        <f t="shared" si="1"/>
        <v>0.10488062827225128</v>
      </c>
      <c r="R18" s="129">
        <f t="shared" si="1"/>
        <v>4.8691099476439782E-4</v>
      </c>
      <c r="S18" s="129">
        <f t="shared" si="1"/>
        <v>0.10572460732984292</v>
      </c>
      <c r="T18" s="129">
        <f t="shared" si="1"/>
        <v>6.7485863874345547E-2</v>
      </c>
      <c r="X18" s="2" t="s">
        <v>38</v>
      </c>
      <c r="Y18" s="13">
        <f>AVERAGE(Y12:Y17)</f>
        <v>2186.3909833333332</v>
      </c>
      <c r="Z18" s="13">
        <f>AVERAGE(Z12:Z17)</f>
        <v>549.5100000000001</v>
      </c>
      <c r="AA18" s="13">
        <f>AVERAGE(AA12:AA17)</f>
        <v>3617.4810999999995</v>
      </c>
      <c r="AB18" s="13">
        <f>AVERAGE(AB12:AB17)</f>
        <v>4725.5250000000005</v>
      </c>
      <c r="AC18" s="13">
        <f>AVERAGE(AC12:AC17)</f>
        <v>1687.5529333333334</v>
      </c>
      <c r="AD18" s="13"/>
      <c r="AE18" s="13">
        <f t="shared" ref="AE18:AJ18" si="3">AVERAGE(AE12:AE17)</f>
        <v>5680.1175666666668</v>
      </c>
      <c r="AF18" s="13">
        <f t="shared" si="3"/>
        <v>419.71468333333331</v>
      </c>
      <c r="AG18" s="13">
        <f t="shared" si="3"/>
        <v>685.8095222222222</v>
      </c>
      <c r="AH18" s="13">
        <f t="shared" si="3"/>
        <v>871.38341199999979</v>
      </c>
      <c r="AI18" s="13">
        <f t="shared" si="3"/>
        <v>5349.166666666667</v>
      </c>
      <c r="AJ18" s="13">
        <f t="shared" si="3"/>
        <v>4692.3425483333331</v>
      </c>
      <c r="AK18" s="13"/>
      <c r="AL18" s="13">
        <f>AVERAGE(AL12:AL17)</f>
        <v>636.32743333333326</v>
      </c>
      <c r="AM18" s="13">
        <f>AVERAGE(AM12:AM17)</f>
        <v>8374.6216083333329</v>
      </c>
    </row>
    <row r="19" spans="1:48" x14ac:dyDescent="0.25">
      <c r="A19" s="6"/>
      <c r="E19" s="7"/>
      <c r="F19" s="2"/>
      <c r="G19" s="2"/>
      <c r="H19" t="s">
        <v>5</v>
      </c>
      <c r="I19" s="61">
        <v>0.69449541284403671</v>
      </c>
      <c r="J19" s="129">
        <f>$I19*J30</f>
        <v>0.77714036697247713</v>
      </c>
      <c r="K19" s="129">
        <f t="shared" ref="K19:T19" si="4">$I19*K30</f>
        <v>0.15834495412844038</v>
      </c>
      <c r="L19" s="129">
        <f t="shared" si="4"/>
        <v>9.5145871559633041E-2</v>
      </c>
      <c r="M19" s="129">
        <f t="shared" si="4"/>
        <v>1.3125963302752293</v>
      </c>
      <c r="N19" s="129">
        <f t="shared" si="4"/>
        <v>0.17362385321100918</v>
      </c>
      <c r="O19" s="129">
        <f t="shared" si="4"/>
        <v>2.0140366972477064E-2</v>
      </c>
      <c r="P19" s="129">
        <f t="shared" si="4"/>
        <v>2.8474311926605506E-2</v>
      </c>
      <c r="Q19" s="129">
        <f t="shared" si="4"/>
        <v>0.14237155963302753</v>
      </c>
      <c r="R19" s="129">
        <f t="shared" si="4"/>
        <v>4.1669724770642203E-3</v>
      </c>
      <c r="S19" s="129">
        <f t="shared" si="4"/>
        <v>2.424483486238532</v>
      </c>
      <c r="T19" s="129">
        <f t="shared" si="4"/>
        <v>0.2666862385321101</v>
      </c>
    </row>
    <row r="20" spans="1:48" ht="13.5" customHeight="1" x14ac:dyDescent="0.25">
      <c r="A20" s="75"/>
      <c r="B20" s="23"/>
      <c r="C20" s="74"/>
      <c r="D20" s="74"/>
      <c r="E20" s="74"/>
      <c r="F20" s="128"/>
      <c r="G20" s="2"/>
      <c r="H20" t="s">
        <v>3</v>
      </c>
      <c r="I20" s="61">
        <v>0.6495726495726496</v>
      </c>
      <c r="J20" s="129">
        <f t="shared" si="1"/>
        <v>0.14160683760683762</v>
      </c>
      <c r="K20" s="129">
        <f t="shared" si="1"/>
        <v>0.37805128205128202</v>
      </c>
      <c r="L20" s="129">
        <f t="shared" si="1"/>
        <v>0.12471794871794872</v>
      </c>
      <c r="M20" s="129">
        <f t="shared" si="1"/>
        <v>1.0172307692307694</v>
      </c>
      <c r="N20" s="129">
        <f t="shared" si="1"/>
        <v>0.19617094017094017</v>
      </c>
      <c r="O20" s="129">
        <f t="shared" si="1"/>
        <v>4.4820512820512824E-2</v>
      </c>
      <c r="P20" s="129">
        <f t="shared" si="1"/>
        <v>6.5606837606837609E-2</v>
      </c>
      <c r="Q20" s="129">
        <f t="shared" si="1"/>
        <v>3.9623931623931623E-2</v>
      </c>
      <c r="R20" s="129">
        <f t="shared" si="1"/>
        <v>8.4444444444444437E-3</v>
      </c>
      <c r="S20" s="129">
        <f t="shared" si="1"/>
        <v>2.2312820512820513</v>
      </c>
      <c r="T20" s="129">
        <f t="shared" si="1"/>
        <v>0.13900854700854701</v>
      </c>
    </row>
    <row r="21" spans="1:48" x14ac:dyDescent="0.25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12" t="s">
        <v>162</v>
      </c>
      <c r="B22" s="73" t="s">
        <v>161</v>
      </c>
      <c r="H22" s="12" t="s">
        <v>160</v>
      </c>
      <c r="I22" s="1"/>
      <c r="K22" s="12" t="s">
        <v>159</v>
      </c>
      <c r="X22" s="4" t="s">
        <v>158</v>
      </c>
      <c r="Y22" s="72" t="s">
        <v>157</v>
      </c>
      <c r="Z22" s="70"/>
      <c r="AA22" s="70"/>
      <c r="AB22" s="70"/>
      <c r="AC22" s="71" t="s">
        <v>156</v>
      </c>
      <c r="AD22" s="70"/>
      <c r="AE22" s="23"/>
      <c r="AF22" s="23"/>
      <c r="AG22" s="23" t="s">
        <v>155</v>
      </c>
      <c r="AH22" s="23"/>
      <c r="AI22" s="23"/>
      <c r="AM22" t="s">
        <v>154</v>
      </c>
    </row>
    <row r="23" spans="1:48" ht="12" thickBot="1" x14ac:dyDescent="0.3">
      <c r="A23" s="50" t="s">
        <v>153</v>
      </c>
      <c r="B23" s="50" t="s">
        <v>128</v>
      </c>
      <c r="C23" s="49">
        <v>2025</v>
      </c>
      <c r="D23" s="50" t="s">
        <v>135</v>
      </c>
      <c r="E23" s="49">
        <v>2025</v>
      </c>
      <c r="F23" s="69"/>
      <c r="H23" s="68"/>
      <c r="I23" s="2"/>
      <c r="J23" s="23" t="s">
        <v>122</v>
      </c>
      <c r="K23" s="23" t="s">
        <v>121</v>
      </c>
      <c r="L23" s="23" t="s">
        <v>120</v>
      </c>
      <c r="M23" s="2" t="s">
        <v>119</v>
      </c>
      <c r="N23" s="23" t="s">
        <v>118</v>
      </c>
      <c r="O23" s="23" t="s">
        <v>117</v>
      </c>
      <c r="P23" s="2" t="s">
        <v>116</v>
      </c>
      <c r="Q23" s="23" t="s">
        <v>115</v>
      </c>
      <c r="R23" s="23" t="s">
        <v>114</v>
      </c>
      <c r="S23" s="23" t="s">
        <v>113</v>
      </c>
      <c r="T23" s="23" t="s">
        <v>112</v>
      </c>
      <c r="W23" s="67" t="s">
        <v>152</v>
      </c>
      <c r="X23" s="46" t="s">
        <v>151</v>
      </c>
      <c r="Y23" s="20" t="s">
        <v>73</v>
      </c>
      <c r="Z23" s="20" t="s">
        <v>72</v>
      </c>
      <c r="AA23" s="20" t="s">
        <v>71</v>
      </c>
      <c r="AB23" s="20" t="s">
        <v>70</v>
      </c>
      <c r="AC23" s="20" t="s">
        <v>69</v>
      </c>
      <c r="AD23" s="20" t="s">
        <v>68</v>
      </c>
      <c r="AE23" s="22" t="s">
        <v>67</v>
      </c>
      <c r="AF23" s="22" t="s">
        <v>66</v>
      </c>
      <c r="AG23" s="22" t="s">
        <v>65</v>
      </c>
      <c r="AH23" s="22" t="s">
        <v>64</v>
      </c>
      <c r="AI23" s="22" t="s">
        <v>63</v>
      </c>
      <c r="AJ23" s="22" t="s">
        <v>62</v>
      </c>
      <c r="AK23" s="22" t="s">
        <v>61</v>
      </c>
      <c r="AL23" s="22" t="s">
        <v>60</v>
      </c>
      <c r="AM23" s="22" t="s">
        <v>59</v>
      </c>
    </row>
    <row r="24" spans="1:48" x14ac:dyDescent="0.25">
      <c r="A24" s="35" t="s">
        <v>11</v>
      </c>
      <c r="B24" s="1">
        <v>3.75</v>
      </c>
      <c r="C24" s="44">
        <v>3.94</v>
      </c>
      <c r="D24" s="44">
        <v>1.1100000000000001</v>
      </c>
      <c r="E24" s="44">
        <v>1.23</v>
      </c>
      <c r="F24" s="1"/>
      <c r="H24" s="1" t="s">
        <v>17</v>
      </c>
      <c r="I24" s="126">
        <v>3.3544303797468353E-2</v>
      </c>
      <c r="J24">
        <v>12.154</v>
      </c>
      <c r="K24">
        <v>0.84699999999999998</v>
      </c>
      <c r="L24">
        <v>2.992</v>
      </c>
      <c r="M24">
        <v>1.1679999999999999</v>
      </c>
      <c r="N24">
        <v>0.22600000000000001</v>
      </c>
      <c r="O24">
        <v>0.222</v>
      </c>
      <c r="P24">
        <v>0.30199999999999999</v>
      </c>
      <c r="Q24">
        <v>1.6719999999999999</v>
      </c>
      <c r="R24">
        <v>2.9000000000000001E-2</v>
      </c>
      <c r="S24">
        <v>0.85399999999999998</v>
      </c>
      <c r="T24" s="23">
        <v>1.466</v>
      </c>
      <c r="W24" s="62" t="s">
        <v>150</v>
      </c>
      <c r="X24" t="s">
        <v>149</v>
      </c>
      <c r="Y24" s="64">
        <v>1.30128</v>
      </c>
      <c r="Z24" s="64">
        <v>1.28444</v>
      </c>
      <c r="AA24" s="64">
        <v>3.9321799999999998</v>
      </c>
      <c r="AB24" s="64">
        <v>54.558140000000002</v>
      </c>
      <c r="AC24" s="64">
        <v>1.6274600000000006</v>
      </c>
      <c r="AD24" s="64">
        <v>1.6274600000000006</v>
      </c>
      <c r="AE24" s="64">
        <v>35.895199999999996</v>
      </c>
      <c r="AF24" s="64">
        <v>0.33599999999999997</v>
      </c>
      <c r="AG24" s="64">
        <v>0.55598000000000003</v>
      </c>
      <c r="AH24" s="64">
        <v>0.68628</v>
      </c>
      <c r="AI24" s="65">
        <v>3.1498759999999999</v>
      </c>
      <c r="AJ24" s="64">
        <v>16.818599999999993</v>
      </c>
      <c r="AK24" s="64">
        <v>1.28444</v>
      </c>
      <c r="AL24" s="64">
        <v>0.80803999999999998</v>
      </c>
      <c r="AM24" s="64">
        <v>9.7298600000000004</v>
      </c>
    </row>
    <row r="25" spans="1:48" x14ac:dyDescent="0.25">
      <c r="A25" s="34" t="s">
        <v>7</v>
      </c>
      <c r="B25" s="44">
        <v>1.21</v>
      </c>
      <c r="C25" s="44">
        <v>1.56</v>
      </c>
      <c r="D25" s="44">
        <v>1.1000000000000001</v>
      </c>
      <c r="E25" s="44">
        <v>1.39</v>
      </c>
      <c r="F25" s="1"/>
      <c r="H25" s="1" t="s">
        <v>15</v>
      </c>
      <c r="I25" s="61">
        <v>1.0625000000000001E-2</v>
      </c>
      <c r="J25" s="2">
        <v>0</v>
      </c>
      <c r="K25" s="2">
        <v>0.14599999999999999</v>
      </c>
      <c r="L25" s="10">
        <v>9.1999999999999998E-2</v>
      </c>
      <c r="M25" s="2">
        <v>8.7999999999999995E-2</v>
      </c>
      <c r="N25" s="2">
        <v>2.1999999999999999E-2</v>
      </c>
      <c r="O25" s="23">
        <v>8.9999999999999993E-3</v>
      </c>
      <c r="P25" s="23">
        <v>2.1000000000000001E-2</v>
      </c>
      <c r="Q25" s="23">
        <v>2.1999999999999999E-2</v>
      </c>
      <c r="R25" s="23">
        <v>4.0000000000000001E-3</v>
      </c>
      <c r="S25" s="23">
        <v>7.0999999999999994E-2</v>
      </c>
      <c r="T25" s="23">
        <v>7.2999999999999995E-2</v>
      </c>
      <c r="W25" s="62"/>
      <c r="X25" t="s">
        <v>148</v>
      </c>
      <c r="Y25" s="64">
        <v>1.9133400000000005</v>
      </c>
      <c r="Z25" s="64">
        <v>2.7986599999999995</v>
      </c>
      <c r="AA25" s="64">
        <v>12.427479999999999</v>
      </c>
      <c r="AB25" s="64">
        <v>150.42792</v>
      </c>
      <c r="AC25" s="64">
        <v>2.5503599999999995</v>
      </c>
      <c r="AD25" s="64">
        <v>2.5503599999999995</v>
      </c>
      <c r="AE25" s="64">
        <v>34.886340000000004</v>
      </c>
      <c r="AF25" s="64">
        <v>1.13436</v>
      </c>
      <c r="AG25" s="64">
        <v>0.80879999999999996</v>
      </c>
      <c r="AH25" s="64">
        <v>1.36696</v>
      </c>
      <c r="AI25" s="64">
        <v>3.6398399999999995</v>
      </c>
      <c r="AJ25" s="64">
        <v>30.716020000000004</v>
      </c>
      <c r="AK25" s="64">
        <v>2.7986599999999995</v>
      </c>
      <c r="AL25" s="64">
        <v>1.3396999999999999</v>
      </c>
      <c r="AM25" s="64">
        <v>23.621119999999998</v>
      </c>
    </row>
    <row r="26" spans="1:48" x14ac:dyDescent="0.25">
      <c r="A26" s="34" t="s">
        <v>5</v>
      </c>
      <c r="B26" s="44">
        <v>1.35</v>
      </c>
      <c r="C26" s="44">
        <v>1.6</v>
      </c>
      <c r="D26" s="44">
        <v>9.6300000000000008</v>
      </c>
      <c r="E26" s="66" t="s">
        <v>147</v>
      </c>
      <c r="F26" s="1"/>
      <c r="H26" t="s">
        <v>13</v>
      </c>
      <c r="I26" s="61">
        <v>0.78473282442748094</v>
      </c>
      <c r="J26" s="2">
        <v>4.18</v>
      </c>
      <c r="K26" s="2">
        <v>0.24099999999999999</v>
      </c>
      <c r="L26" s="10">
        <v>1.0720000000000001</v>
      </c>
      <c r="M26" s="2">
        <v>3.1040000000000001</v>
      </c>
      <c r="N26" s="2">
        <v>0.32200000000000001</v>
      </c>
      <c r="O26" s="23">
        <v>0.41199999999999998</v>
      </c>
      <c r="P26" s="23">
        <v>0.08</v>
      </c>
      <c r="Q26" s="23">
        <v>3.7109999999999999</v>
      </c>
      <c r="R26" s="23">
        <v>8.0000000000000002E-3</v>
      </c>
      <c r="S26" s="23">
        <v>2.839</v>
      </c>
      <c r="T26" s="23">
        <v>0.35</v>
      </c>
      <c r="W26" s="62"/>
      <c r="X26" s="1" t="s">
        <v>146</v>
      </c>
      <c r="Y26" s="64">
        <v>1.6788599999999994</v>
      </c>
      <c r="Z26" s="64">
        <v>1.4195199999999997</v>
      </c>
      <c r="AA26" s="64">
        <v>27.668419999999994</v>
      </c>
      <c r="AB26" s="64">
        <v>101.02902</v>
      </c>
      <c r="AC26" s="64">
        <v>0.93552000000000002</v>
      </c>
      <c r="AD26" s="64">
        <v>0.93552000000000002</v>
      </c>
      <c r="AE26" s="64">
        <v>10.583019999999999</v>
      </c>
      <c r="AF26" s="64">
        <v>0.69153999999999993</v>
      </c>
      <c r="AG26" s="64">
        <v>0.59506000000000003</v>
      </c>
      <c r="AH26" s="65">
        <v>1.5322639999999996</v>
      </c>
      <c r="AI26" s="64">
        <v>1.7899399999999992</v>
      </c>
      <c r="AJ26" s="64">
        <v>11.519020000000001</v>
      </c>
      <c r="AK26" s="64">
        <v>1.4195199999999997</v>
      </c>
      <c r="AL26" s="64">
        <v>0.48740000000000006</v>
      </c>
      <c r="AM26" s="64">
        <v>20.05594</v>
      </c>
    </row>
    <row r="27" spans="1:48" x14ac:dyDescent="0.25">
      <c r="A27" s="32"/>
      <c r="B27" s="47" t="s">
        <v>126</v>
      </c>
      <c r="C27" s="45">
        <v>2025</v>
      </c>
      <c r="D27" s="48" t="s">
        <v>111</v>
      </c>
      <c r="E27" s="48">
        <v>2025</v>
      </c>
      <c r="F27" s="1"/>
      <c r="H27" t="s">
        <v>11</v>
      </c>
      <c r="I27" s="61">
        <v>0.13</v>
      </c>
      <c r="J27" s="23">
        <v>7.9509999999999996</v>
      </c>
      <c r="K27" s="2">
        <v>0.80200000000000005</v>
      </c>
      <c r="L27" s="10">
        <v>0.63800000000000001</v>
      </c>
      <c r="M27" s="2">
        <v>1.8620000000000001</v>
      </c>
      <c r="N27" s="2">
        <v>0.27300000000000002</v>
      </c>
      <c r="O27" s="23">
        <v>0.39800000000000002</v>
      </c>
      <c r="P27" s="23">
        <v>0.56599999999999995</v>
      </c>
      <c r="Q27" s="23">
        <v>1.091</v>
      </c>
      <c r="R27" s="23">
        <v>2.5000000000000001E-2</v>
      </c>
      <c r="S27" s="23">
        <v>3.2629999999999999</v>
      </c>
      <c r="T27" s="23">
        <v>0.47699999999999998</v>
      </c>
      <c r="W27" s="62"/>
      <c r="X27" t="s">
        <v>145</v>
      </c>
      <c r="Y27" s="64">
        <v>1.5168999999999997</v>
      </c>
      <c r="Z27" s="64">
        <v>2.0100199999999995</v>
      </c>
      <c r="AA27" s="64">
        <v>17.187699999999996</v>
      </c>
      <c r="AB27" s="64">
        <v>64.305659999999989</v>
      </c>
      <c r="AC27" s="64">
        <v>3.3404399999999996</v>
      </c>
      <c r="AD27" s="64">
        <v>3.3404399999999996</v>
      </c>
      <c r="AE27" s="64">
        <v>9.3418799999999997</v>
      </c>
      <c r="AF27" s="64">
        <v>1.4708999999999997</v>
      </c>
      <c r="AG27" s="64">
        <v>1.3305999999999998</v>
      </c>
      <c r="AH27" s="64">
        <v>1.37496</v>
      </c>
      <c r="AI27" s="64">
        <v>3.4123200000000007</v>
      </c>
      <c r="AJ27" s="64">
        <v>7.9174199999999999</v>
      </c>
      <c r="AK27" s="64">
        <v>2.0100199999999995</v>
      </c>
      <c r="AL27" s="64">
        <v>1.4498199999999994</v>
      </c>
      <c r="AM27" s="64">
        <v>11.566719999999997</v>
      </c>
    </row>
    <row r="28" spans="1:48" x14ac:dyDescent="0.25">
      <c r="A28" s="35" t="s">
        <v>11</v>
      </c>
      <c r="B28" s="44">
        <v>1.0900000000000001</v>
      </c>
      <c r="C28" s="2">
        <v>1.26</v>
      </c>
      <c r="D28" s="44">
        <v>0.77</v>
      </c>
      <c r="E28" s="44">
        <v>0.95</v>
      </c>
      <c r="F28" s="1"/>
      <c r="H28" t="s">
        <v>9</v>
      </c>
      <c r="I28" s="61">
        <v>5.5E-2</v>
      </c>
      <c r="J28" s="23">
        <v>0</v>
      </c>
      <c r="K28" s="2">
        <v>0.13500000000000001</v>
      </c>
      <c r="L28" s="10">
        <v>5.0999999999999997E-2</v>
      </c>
      <c r="M28" s="2">
        <v>0.13</v>
      </c>
      <c r="N28" s="2">
        <v>1.4999999999999999E-2</v>
      </c>
      <c r="O28" s="23">
        <v>1.9E-2</v>
      </c>
      <c r="P28" s="23">
        <v>8.9999999999999993E-3</v>
      </c>
      <c r="Q28" s="23">
        <v>3.5999999999999997E-2</v>
      </c>
      <c r="R28" s="23">
        <v>6.0000000000000001E-3</v>
      </c>
      <c r="S28" s="23">
        <v>3.7999999999999999E-2</v>
      </c>
      <c r="T28" s="23">
        <v>6.8000000000000005E-2</v>
      </c>
      <c r="W28" s="62"/>
      <c r="X28" t="s">
        <v>144</v>
      </c>
      <c r="Y28" s="64">
        <v>9.3224400000000003</v>
      </c>
      <c r="Z28" s="64">
        <v>3.7627999999999999</v>
      </c>
      <c r="AA28" s="64">
        <v>13.70208</v>
      </c>
      <c r="AB28" s="64">
        <v>144.85713999999999</v>
      </c>
      <c r="AC28" s="64">
        <v>2.0979599999999996</v>
      </c>
      <c r="AD28" s="64">
        <v>2.0979599999999996</v>
      </c>
      <c r="AE28" s="64">
        <v>5.6186600000000002</v>
      </c>
      <c r="AF28" s="64">
        <v>1.1129199999999999</v>
      </c>
      <c r="AG28" s="65">
        <v>0.7714359999999999</v>
      </c>
      <c r="AH28" s="64">
        <v>2.4729999999999994</v>
      </c>
      <c r="AI28" s="64">
        <v>1.9730199999999998</v>
      </c>
      <c r="AJ28" s="64">
        <v>8.1453199999999999</v>
      </c>
      <c r="AK28" s="64">
        <v>3.7627999999999999</v>
      </c>
      <c r="AL28" s="64">
        <v>1.03742</v>
      </c>
      <c r="AM28" s="64">
        <v>22.691599999999994</v>
      </c>
    </row>
    <row r="29" spans="1:48" x14ac:dyDescent="0.25">
      <c r="A29" s="34" t="s">
        <v>7</v>
      </c>
      <c r="B29" s="44">
        <v>1.55</v>
      </c>
      <c r="C29" s="2">
        <v>1.9</v>
      </c>
      <c r="D29" s="44">
        <v>1.56</v>
      </c>
      <c r="E29" s="44">
        <v>1.86</v>
      </c>
      <c r="F29" s="44"/>
      <c r="H29" t="s">
        <v>7</v>
      </c>
      <c r="I29" s="61">
        <v>3.2460732984293188E-2</v>
      </c>
      <c r="J29" s="23">
        <v>5.1479999999999997</v>
      </c>
      <c r="K29" s="2">
        <v>1.8120000000000001</v>
      </c>
      <c r="L29" s="10">
        <v>4.7279999999999998</v>
      </c>
      <c r="M29" s="2">
        <v>4.2389999999999999</v>
      </c>
      <c r="N29" s="2">
        <v>1</v>
      </c>
      <c r="O29" s="23">
        <v>1.181</v>
      </c>
      <c r="P29" s="23">
        <v>1.069</v>
      </c>
      <c r="Q29" s="23">
        <v>3.2309999999999999</v>
      </c>
      <c r="R29" s="23">
        <v>1.4999999999999999E-2</v>
      </c>
      <c r="S29" s="23">
        <v>3.2570000000000001</v>
      </c>
      <c r="T29" s="23">
        <v>2.0790000000000002</v>
      </c>
      <c r="W29" s="62"/>
      <c r="X29" s="37" t="s">
        <v>143</v>
      </c>
      <c r="Y29" s="63">
        <v>3.2147999999999999</v>
      </c>
      <c r="Z29" s="63">
        <v>1.04118</v>
      </c>
      <c r="AA29" s="63">
        <v>10.08808</v>
      </c>
      <c r="AB29" s="63">
        <v>108.64317999999999</v>
      </c>
      <c r="AC29" s="63">
        <v>3.1777199999999999</v>
      </c>
      <c r="AD29" s="63">
        <v>3.1777199999999999</v>
      </c>
      <c r="AE29" s="63">
        <v>9.0960000000000001</v>
      </c>
      <c r="AF29" s="63">
        <v>0.39539999999999997</v>
      </c>
      <c r="AG29" s="63">
        <v>0.56673999999999991</v>
      </c>
      <c r="AH29" s="63">
        <v>1.7601199999999992</v>
      </c>
      <c r="AI29" s="63">
        <v>4.9342599999999992</v>
      </c>
      <c r="AJ29" s="63">
        <v>6.4817400000000012</v>
      </c>
      <c r="AK29" s="63">
        <v>1.04118</v>
      </c>
      <c r="AL29" s="63">
        <v>0.50358000000000003</v>
      </c>
      <c r="AM29" s="63">
        <v>23.538799999999998</v>
      </c>
    </row>
    <row r="30" spans="1:48" x14ac:dyDescent="0.25">
      <c r="A30" s="34" t="s">
        <v>5</v>
      </c>
      <c r="B30" s="44">
        <v>2.75</v>
      </c>
      <c r="C30" s="2">
        <v>3.52</v>
      </c>
      <c r="D30" s="44">
        <v>0.68</v>
      </c>
      <c r="E30" s="44">
        <v>0.99</v>
      </c>
      <c r="F30" s="2"/>
      <c r="H30" t="s">
        <v>5</v>
      </c>
      <c r="I30" s="61">
        <v>0.69449541284403671</v>
      </c>
      <c r="J30" s="23">
        <v>1.119</v>
      </c>
      <c r="K30" s="2">
        <v>0.22800000000000001</v>
      </c>
      <c r="L30" s="10">
        <v>0.13700000000000001</v>
      </c>
      <c r="M30" s="2">
        <v>1.89</v>
      </c>
      <c r="N30" s="2">
        <v>0.25</v>
      </c>
      <c r="O30" s="23">
        <v>2.9000000000000001E-2</v>
      </c>
      <c r="P30" s="23">
        <v>4.1000000000000002E-2</v>
      </c>
      <c r="Q30" s="23">
        <v>0.20499999999999999</v>
      </c>
      <c r="R30" s="23">
        <v>6.0000000000000001E-3</v>
      </c>
      <c r="S30" s="23">
        <v>3.4910000000000001</v>
      </c>
      <c r="T30" s="23">
        <v>0.38400000000000001</v>
      </c>
      <c r="W30" s="62"/>
      <c r="X30" t="s">
        <v>56</v>
      </c>
      <c r="Y30" s="59">
        <v>0.92948571428571436</v>
      </c>
      <c r="Z30" s="59">
        <v>0.91745714285714297</v>
      </c>
      <c r="AA30" s="59">
        <v>2.8087</v>
      </c>
      <c r="AB30" s="59">
        <v>38.970100000000002</v>
      </c>
      <c r="AC30" s="59">
        <v>1.162471428571429</v>
      </c>
      <c r="AD30" s="59">
        <v>1.162471428571429</v>
      </c>
      <c r="AE30" s="59">
        <v>25.639428571428571</v>
      </c>
      <c r="AF30" s="59">
        <v>0.24</v>
      </c>
      <c r="AG30" s="59">
        <v>0.39712857142857144</v>
      </c>
      <c r="AH30" s="59">
        <v>0.49020000000000002</v>
      </c>
      <c r="AI30" s="59">
        <v>2.2499114285714286</v>
      </c>
      <c r="AJ30" s="59">
        <v>12.013285714285709</v>
      </c>
      <c r="AK30" s="59">
        <v>0.91745714285714297</v>
      </c>
      <c r="AL30" s="59">
        <v>0.57717142857142856</v>
      </c>
      <c r="AM30" s="59">
        <v>6.9499000000000004</v>
      </c>
    </row>
    <row r="31" spans="1:48" x14ac:dyDescent="0.25">
      <c r="A31" s="1"/>
      <c r="B31" s="48" t="s">
        <v>142</v>
      </c>
      <c r="C31" s="32">
        <v>2025</v>
      </c>
      <c r="D31" s="47" t="s">
        <v>123</v>
      </c>
      <c r="E31" s="45">
        <v>2025</v>
      </c>
      <c r="F31" s="2"/>
      <c r="H31" t="s">
        <v>3</v>
      </c>
      <c r="I31" s="61">
        <v>0.6495726495726496</v>
      </c>
      <c r="J31" s="23">
        <v>0.218</v>
      </c>
      <c r="K31" s="2">
        <v>0.58199999999999996</v>
      </c>
      <c r="L31" s="10">
        <v>0.192</v>
      </c>
      <c r="M31" s="2">
        <v>1.5660000000000001</v>
      </c>
      <c r="N31" s="2">
        <v>0.30199999999999999</v>
      </c>
      <c r="O31" s="23">
        <v>6.9000000000000006E-2</v>
      </c>
      <c r="P31" s="23">
        <v>0.10100000000000001</v>
      </c>
      <c r="Q31" s="23">
        <v>6.0999999999999999E-2</v>
      </c>
      <c r="R31" s="23">
        <v>1.2999999999999999E-2</v>
      </c>
      <c r="S31" s="23">
        <v>3.4350000000000001</v>
      </c>
      <c r="T31" s="23">
        <v>0.214</v>
      </c>
      <c r="W31" s="58"/>
      <c r="X31" t="s">
        <v>53</v>
      </c>
      <c r="Y31" s="59">
        <v>1.366671428571429</v>
      </c>
      <c r="Z31" s="59">
        <v>1.9990428571428569</v>
      </c>
      <c r="AA31" s="59">
        <v>8.8767714285714288</v>
      </c>
      <c r="AB31" s="59">
        <v>107.4485142857143</v>
      </c>
      <c r="AC31" s="59">
        <v>1.8216857142857141</v>
      </c>
      <c r="AD31" s="59">
        <v>1.8216857142857141</v>
      </c>
      <c r="AE31" s="59">
        <v>24.918814285714291</v>
      </c>
      <c r="AF31" s="59">
        <v>0.8102571428571429</v>
      </c>
      <c r="AG31" s="59">
        <v>0.57771428571428574</v>
      </c>
      <c r="AH31" s="59">
        <v>0.97640000000000005</v>
      </c>
      <c r="AI31" s="59">
        <v>2.5998857142857141</v>
      </c>
      <c r="AJ31" s="59">
        <v>21.940014285714291</v>
      </c>
      <c r="AK31" s="59">
        <v>1.9990428571428569</v>
      </c>
      <c r="AL31" s="59">
        <v>0.95692857142857135</v>
      </c>
      <c r="AM31" s="59">
        <v>16.872228571428572</v>
      </c>
    </row>
    <row r="32" spans="1:48" x14ac:dyDescent="0.25">
      <c r="A32" s="35" t="s">
        <v>11</v>
      </c>
      <c r="B32" s="44">
        <v>78</v>
      </c>
      <c r="C32" s="44">
        <v>90</v>
      </c>
      <c r="D32" s="10"/>
      <c r="E32" s="2"/>
      <c r="F32" s="2"/>
      <c r="W32" s="58"/>
      <c r="X32" s="1" t="s">
        <v>50</v>
      </c>
      <c r="Y32" s="59">
        <v>1.1991857142857139</v>
      </c>
      <c r="Z32" s="59">
        <v>1.013942857142857</v>
      </c>
      <c r="AA32" s="59">
        <v>19.763157142857139</v>
      </c>
      <c r="AB32" s="59">
        <v>72.163585714285716</v>
      </c>
      <c r="AC32" s="59">
        <v>0.66822857142857151</v>
      </c>
      <c r="AD32" s="59">
        <v>0.66822857142857151</v>
      </c>
      <c r="AE32" s="59">
        <v>7.5593000000000004</v>
      </c>
      <c r="AF32" s="59">
        <v>0.49395714285714282</v>
      </c>
      <c r="AG32" s="59">
        <v>0.42504285714285717</v>
      </c>
      <c r="AH32" s="59">
        <v>1.0944742857142855</v>
      </c>
      <c r="AI32" s="59">
        <v>1.278528571428571</v>
      </c>
      <c r="AJ32" s="59">
        <v>8.2278714285714294</v>
      </c>
      <c r="AK32" s="59">
        <v>1.013942857142857</v>
      </c>
      <c r="AL32" s="59">
        <v>0.3481428571428572</v>
      </c>
      <c r="AM32" s="59">
        <v>14.325671428571429</v>
      </c>
    </row>
    <row r="33" spans="1:39" x14ac:dyDescent="0.25">
      <c r="A33" s="34" t="s">
        <v>7</v>
      </c>
      <c r="B33" s="44">
        <v>52</v>
      </c>
      <c r="C33" s="44">
        <v>61</v>
      </c>
      <c r="D33" s="10"/>
      <c r="E33" s="2"/>
      <c r="F33" s="2"/>
      <c r="H33" s="12" t="s">
        <v>141</v>
      </c>
      <c r="N33" s="60" t="s">
        <v>140</v>
      </c>
      <c r="W33" s="58"/>
      <c r="X33" t="s">
        <v>47</v>
      </c>
      <c r="Y33" s="59">
        <v>1.0834999999999999</v>
      </c>
      <c r="Z33" s="59">
        <v>1.435728571428571</v>
      </c>
      <c r="AA33" s="59">
        <v>12.27692857142857</v>
      </c>
      <c r="AB33" s="59">
        <v>45.93261428571428</v>
      </c>
      <c r="AC33" s="59">
        <v>2.3860285714285712</v>
      </c>
      <c r="AD33" s="59">
        <v>2.3860285714285712</v>
      </c>
      <c r="AE33" s="59">
        <v>6.672771428571429</v>
      </c>
      <c r="AF33" s="59">
        <v>1.050642857142857</v>
      </c>
      <c r="AG33" s="59">
        <v>0.9504285714285714</v>
      </c>
      <c r="AH33" s="59">
        <v>0.98211428571428572</v>
      </c>
      <c r="AI33" s="59">
        <v>2.4373714285714292</v>
      </c>
      <c r="AJ33" s="59">
        <v>5.6553000000000004</v>
      </c>
      <c r="AK33" s="59">
        <v>1.435728571428571</v>
      </c>
      <c r="AL33" s="59">
        <v>1.0355857142857139</v>
      </c>
      <c r="AM33" s="59">
        <v>8.2619428571428557</v>
      </c>
    </row>
    <row r="34" spans="1:39" ht="18.5" x14ac:dyDescent="0.25">
      <c r="A34" s="34" t="s">
        <v>5</v>
      </c>
      <c r="B34" s="44">
        <v>103</v>
      </c>
      <c r="C34" s="44">
        <v>108</v>
      </c>
      <c r="D34" s="10"/>
      <c r="E34" s="2"/>
      <c r="F34" s="2"/>
      <c r="H34" s="30" t="s">
        <v>131</v>
      </c>
      <c r="I34" s="29"/>
      <c r="J34" s="28"/>
      <c r="K34" s="28"/>
      <c r="L34" s="29"/>
      <c r="M34" s="28"/>
      <c r="N34" s="28"/>
      <c r="W34" s="58"/>
      <c r="X34" s="1" t="s">
        <v>44</v>
      </c>
      <c r="Y34" s="10">
        <v>6.6588857142857147</v>
      </c>
      <c r="Z34" s="10">
        <v>2.6877142857142857</v>
      </c>
      <c r="AA34" s="10">
        <v>9.7872000000000003</v>
      </c>
      <c r="AB34" s="10">
        <v>103.46938571428571</v>
      </c>
      <c r="AC34" s="10">
        <v>1.498542857142857</v>
      </c>
      <c r="AD34" s="10">
        <v>1.498542857142857</v>
      </c>
      <c r="AE34" s="10">
        <v>4.0133285714285716</v>
      </c>
      <c r="AF34" s="10">
        <v>0.79494285714285717</v>
      </c>
      <c r="AG34" s="10">
        <v>0.55102571428571423</v>
      </c>
      <c r="AH34" s="10">
        <v>1.766428571428571</v>
      </c>
      <c r="AI34" s="10">
        <v>1.4093</v>
      </c>
      <c r="AJ34" s="10">
        <v>5.8180857142857141</v>
      </c>
      <c r="AK34" s="10">
        <v>2.6877142857142857</v>
      </c>
      <c r="AL34" s="10">
        <v>0.74101428571428574</v>
      </c>
      <c r="AM34" s="10">
        <v>16.208285714285712</v>
      </c>
    </row>
    <row r="35" spans="1:39" ht="13" x14ac:dyDescent="0.25">
      <c r="A35" s="36" t="s">
        <v>139</v>
      </c>
      <c r="B35" s="51" t="s">
        <v>115</v>
      </c>
      <c r="C35" s="51" t="s">
        <v>135</v>
      </c>
      <c r="D35" s="50" t="s">
        <v>119</v>
      </c>
      <c r="E35" s="51" t="s">
        <v>116</v>
      </c>
      <c r="F35" s="51" t="s">
        <v>113</v>
      </c>
      <c r="H35" s="27"/>
      <c r="I35" s="57"/>
      <c r="J35" s="57" t="s">
        <v>127</v>
      </c>
      <c r="K35" s="57"/>
      <c r="L35" s="57"/>
      <c r="M35" s="57" t="s">
        <v>91</v>
      </c>
      <c r="N35" s="57"/>
      <c r="P35" s="12" t="s">
        <v>138</v>
      </c>
      <c r="W35" s="56"/>
      <c r="X35" s="37" t="s">
        <v>41</v>
      </c>
      <c r="Y35" s="55">
        <v>2.2962857142857143</v>
      </c>
      <c r="Z35" s="55">
        <v>0.74370000000000003</v>
      </c>
      <c r="AA35" s="55">
        <v>7.2057714285714294</v>
      </c>
      <c r="AB35" s="55">
        <v>77.602271428571427</v>
      </c>
      <c r="AC35" s="55">
        <v>2.2698</v>
      </c>
      <c r="AD35" s="55">
        <v>2.2698</v>
      </c>
      <c r="AE35" s="55">
        <v>6.4971428571428573</v>
      </c>
      <c r="AF35" s="55">
        <v>0.28242857142857142</v>
      </c>
      <c r="AG35" s="55">
        <v>0.40481428571428568</v>
      </c>
      <c r="AH35" s="55">
        <v>1.2572285714285709</v>
      </c>
      <c r="AI35" s="55">
        <v>3.5244714285714283</v>
      </c>
      <c r="AJ35" s="55">
        <v>4.6298142857142865</v>
      </c>
      <c r="AK35" s="55">
        <v>0.74370000000000003</v>
      </c>
      <c r="AL35" s="55">
        <v>0.35970000000000002</v>
      </c>
      <c r="AM35" s="55">
        <v>16.81342857142857</v>
      </c>
    </row>
    <row r="36" spans="1:39" ht="18.5" x14ac:dyDescent="0.25">
      <c r="A36" s="35" t="s">
        <v>11</v>
      </c>
      <c r="B36" s="52">
        <f>C24/B24</f>
        <v>1.0506666666666666</v>
      </c>
      <c r="C36" s="52">
        <f>E24/D24</f>
        <v>1.1081081081081079</v>
      </c>
      <c r="D36" s="52">
        <f>C28/B28</f>
        <v>1.1559633027522935</v>
      </c>
      <c r="E36" s="52">
        <f>E28/D28</f>
        <v>1.2337662337662336</v>
      </c>
      <c r="F36" s="52">
        <f>C32/B32</f>
        <v>1.1538461538461537</v>
      </c>
      <c r="H36" s="26"/>
      <c r="I36" s="25">
        <v>2010</v>
      </c>
      <c r="J36" s="25">
        <v>2030</v>
      </c>
      <c r="K36" s="24">
        <v>2050</v>
      </c>
      <c r="L36" s="54">
        <v>2010</v>
      </c>
      <c r="M36" s="25">
        <v>2030</v>
      </c>
      <c r="N36" s="24">
        <v>2050</v>
      </c>
      <c r="P36" s="25">
        <v>2030</v>
      </c>
      <c r="Q36" s="30" t="s">
        <v>131</v>
      </c>
      <c r="R36" s="30" t="s">
        <v>130</v>
      </c>
      <c r="S36" s="30" t="s">
        <v>124</v>
      </c>
      <c r="T36" s="30" t="s">
        <v>109</v>
      </c>
      <c r="U36" s="30" t="s">
        <v>95</v>
      </c>
    </row>
    <row r="37" spans="1:39" ht="13" x14ac:dyDescent="0.3">
      <c r="A37" s="34" t="s">
        <v>7</v>
      </c>
      <c r="B37" s="52">
        <f>C25/B25</f>
        <v>1.2892561983471076</v>
      </c>
      <c r="C37" s="52">
        <f>E25/D25</f>
        <v>1.2636363636363634</v>
      </c>
      <c r="D37" s="52">
        <f>C29/B29</f>
        <v>1.225806451612903</v>
      </c>
      <c r="E37" s="52">
        <f>E29/D29</f>
        <v>1.1923076923076923</v>
      </c>
      <c r="F37" s="52">
        <f>C33/B33</f>
        <v>1.1730769230769231</v>
      </c>
      <c r="H37" s="19" t="s">
        <v>17</v>
      </c>
      <c r="I37" s="18">
        <v>1.60866796561064</v>
      </c>
      <c r="J37" s="17">
        <v>3.2516400421805201</v>
      </c>
      <c r="K37" s="17">
        <v>4.5226222678539099</v>
      </c>
      <c r="L37" s="18">
        <v>1</v>
      </c>
      <c r="M37" s="17">
        <v>2.0213245440902519</v>
      </c>
      <c r="N37" s="17">
        <v>2.8114081740523451</v>
      </c>
      <c r="P37" s="19" t="s">
        <v>17</v>
      </c>
      <c r="Q37" s="17">
        <v>2.0213245440902519</v>
      </c>
      <c r="R37" s="17">
        <v>1.4364066240712672</v>
      </c>
      <c r="S37" s="17">
        <v>1.8368812220228694</v>
      </c>
      <c r="T37" s="17">
        <v>1.7193280129853763</v>
      </c>
      <c r="U37" s="17">
        <v>1.1107666172261337</v>
      </c>
    </row>
    <row r="38" spans="1:39" ht="13.5" thickBot="1" x14ac:dyDescent="0.35">
      <c r="A38" s="34" t="s">
        <v>5</v>
      </c>
      <c r="B38" s="52">
        <f>C26/B26</f>
        <v>1.1851851851851851</v>
      </c>
      <c r="C38" s="53">
        <f>7.42/6.7</f>
        <v>1.1074626865671642</v>
      </c>
      <c r="D38" s="52">
        <f>C30/B30</f>
        <v>1.28</v>
      </c>
      <c r="E38" s="52">
        <f>E30/D30</f>
        <v>1.4558823529411764</v>
      </c>
      <c r="F38" s="52">
        <f>C34/B34</f>
        <v>1.0485436893203883</v>
      </c>
      <c r="H38" s="19" t="s">
        <v>15</v>
      </c>
      <c r="I38" s="18">
        <v>0.13755304890109901</v>
      </c>
      <c r="J38" s="17">
        <v>0.20896110978311699</v>
      </c>
      <c r="K38" s="17">
        <v>0.26607103994902798</v>
      </c>
      <c r="L38" s="18">
        <v>1</v>
      </c>
      <c r="M38" s="17">
        <v>1.5191310658141832</v>
      </c>
      <c r="N38" s="17">
        <v>1.9343158299626912</v>
      </c>
      <c r="P38" s="19" t="s">
        <v>15</v>
      </c>
      <c r="Q38" s="17">
        <v>1.5191310658141832</v>
      </c>
      <c r="R38" s="17">
        <v>1.3762341453438796</v>
      </c>
      <c r="S38" s="17">
        <v>1.3023627274944354</v>
      </c>
      <c r="T38" s="17">
        <v>1.3819429430733616</v>
      </c>
      <c r="U38" s="17">
        <v>1.3671284744683232</v>
      </c>
      <c r="AC38" s="22" t="s">
        <v>118</v>
      </c>
      <c r="AD38" t="s">
        <v>260</v>
      </c>
      <c r="AE38" s="22" t="s">
        <v>64</v>
      </c>
      <c r="AF38" s="2" t="s">
        <v>105</v>
      </c>
    </row>
    <row r="39" spans="1:39" ht="13" x14ac:dyDescent="0.3">
      <c r="A39" s="36" t="s">
        <v>107</v>
      </c>
      <c r="B39" s="51" t="s">
        <v>115</v>
      </c>
      <c r="C39" s="51" t="s">
        <v>135</v>
      </c>
      <c r="D39" s="50" t="s">
        <v>119</v>
      </c>
      <c r="E39" s="51" t="s">
        <v>116</v>
      </c>
      <c r="F39" s="51" t="s">
        <v>113</v>
      </c>
      <c r="G39" s="32" t="s">
        <v>137</v>
      </c>
      <c r="H39" s="19" t="s">
        <v>13</v>
      </c>
      <c r="I39" s="18">
        <v>1.61733156354485</v>
      </c>
      <c r="J39" s="17">
        <v>3.6576421654479798</v>
      </c>
      <c r="K39" s="17">
        <v>7.9400621503421798</v>
      </c>
      <c r="L39" s="18">
        <v>1</v>
      </c>
      <c r="M39" s="17">
        <v>2.2615289578787414</v>
      </c>
      <c r="N39" s="17">
        <v>4.9093595458801511</v>
      </c>
      <c r="P39" s="19" t="s">
        <v>13</v>
      </c>
      <c r="Q39" s="17">
        <v>2.2615289578787414</v>
      </c>
      <c r="R39" s="17">
        <v>1.7097207025795953</v>
      </c>
      <c r="S39" s="17">
        <v>1.6385804103518871</v>
      </c>
      <c r="T39" s="17">
        <v>1.8040798099919266</v>
      </c>
      <c r="U39" s="17">
        <v>1.4828612003096207</v>
      </c>
      <c r="AB39" s="1" t="s">
        <v>18</v>
      </c>
      <c r="AC39" s="13">
        <v>982</v>
      </c>
      <c r="AE39" s="64">
        <v>0.68628</v>
      </c>
    </row>
    <row r="40" spans="1:39" ht="13" x14ac:dyDescent="0.3">
      <c r="A40" s="35" t="s">
        <v>11</v>
      </c>
      <c r="B40" s="33">
        <f>EXP(LN(C24/B24)/10)</f>
        <v>1.0049547225757753</v>
      </c>
      <c r="C40" s="33">
        <f>EXP(LN(E24/D24)/10)</f>
        <v>1.0103182855391637</v>
      </c>
      <c r="D40" s="33">
        <f>EXP(LN(C28/B28)/10)</f>
        <v>1.0145989410846314</v>
      </c>
      <c r="E40" s="33">
        <f>EXP(LN(E28/D28)/10)</f>
        <v>1.0212293503117618</v>
      </c>
      <c r="F40" s="33">
        <f>EXP(LN(C32/B32)/10)</f>
        <v>1.0144129637732298</v>
      </c>
      <c r="G40" s="33">
        <f>EXP(LN(0.58/0.52)/10)</f>
        <v>1.0109797692413225</v>
      </c>
      <c r="H40" s="21" t="s">
        <v>11</v>
      </c>
      <c r="I40" s="18">
        <v>0.65795482399631999</v>
      </c>
      <c r="J40" s="17">
        <v>1.3740896434007299</v>
      </c>
      <c r="K40" s="17">
        <v>2.4201622243573904</v>
      </c>
      <c r="L40" s="18">
        <v>1</v>
      </c>
      <c r="M40" s="17">
        <v>2.0884255168990378</v>
      </c>
      <c r="N40" s="17">
        <v>3.6783106318115948</v>
      </c>
      <c r="P40" s="21" t="s">
        <v>11</v>
      </c>
      <c r="Q40" s="17">
        <v>2.0884255168990378</v>
      </c>
      <c r="R40" s="17">
        <v>1.3695858062439372</v>
      </c>
      <c r="S40" s="17">
        <v>1.5301435747190297</v>
      </c>
      <c r="T40" s="17">
        <v>1.7706514490677756</v>
      </c>
      <c r="U40" s="17">
        <v>1.4780512788438025</v>
      </c>
      <c r="AB40" t="s">
        <v>14</v>
      </c>
      <c r="AC40" s="43">
        <v>984</v>
      </c>
      <c r="AD40" s="112">
        <v>560</v>
      </c>
      <c r="AE40" s="64">
        <v>1.36696</v>
      </c>
      <c r="AF40" s="13">
        <f>AC40-AD40*AE40</f>
        <v>218.50240000000008</v>
      </c>
    </row>
    <row r="41" spans="1:39" ht="13" x14ac:dyDescent="0.3">
      <c r="A41" s="34" t="s">
        <v>7</v>
      </c>
      <c r="B41" s="33">
        <f>EXP(LN(C25/B25)/10)</f>
        <v>1.0257320431982959</v>
      </c>
      <c r="C41" s="33">
        <f>EXP(LN(E25/D25)/10)</f>
        <v>1.0236752695393911</v>
      </c>
      <c r="D41" s="33">
        <f>EXP(LN(C29/B29)/10)</f>
        <v>1.0205685720013449</v>
      </c>
      <c r="E41" s="33">
        <f>EXP(LN(E29/D29)/10)</f>
        <v>1.0177446652182531</v>
      </c>
      <c r="F41" s="33">
        <f>EXP(LN(C33/B33)/10)</f>
        <v>1.0160911041337279</v>
      </c>
      <c r="G41" s="33">
        <f>EXP(LN(1.16/0.97)/10)</f>
        <v>1.0180488683612503</v>
      </c>
      <c r="H41" s="19" t="s">
        <v>9</v>
      </c>
      <c r="I41" s="18">
        <v>0.12954030123854801</v>
      </c>
      <c r="J41" s="17">
        <v>0.21223241070340401</v>
      </c>
      <c r="K41" s="17">
        <v>0.30290590358870301</v>
      </c>
      <c r="L41" s="18">
        <v>1</v>
      </c>
      <c r="M41" s="17">
        <v>1.6383504490434893</v>
      </c>
      <c r="N41" s="17">
        <v>2.3383140280869261</v>
      </c>
      <c r="P41" s="19" t="s">
        <v>9</v>
      </c>
      <c r="Q41" s="17">
        <v>1.6383504490434893</v>
      </c>
      <c r="R41" s="17">
        <v>1.269486437521349</v>
      </c>
      <c r="S41" s="17">
        <v>1.4420534208070075</v>
      </c>
      <c r="T41" s="17">
        <v>1.4816222239998031</v>
      </c>
      <c r="U41" s="17">
        <v>1.2551489405856937</v>
      </c>
      <c r="AB41" t="s">
        <v>12</v>
      </c>
      <c r="AC41" s="43">
        <v>298</v>
      </c>
      <c r="AD41" s="112">
        <v>0</v>
      </c>
      <c r="AE41" s="65">
        <v>1.5322639999999996</v>
      </c>
      <c r="AF41" s="13">
        <f t="shared" ref="AF41:AF44" si="5">AC41-AD41*AE41</f>
        <v>298</v>
      </c>
    </row>
    <row r="42" spans="1:39" ht="13" x14ac:dyDescent="0.3">
      <c r="A42" s="34" t="s">
        <v>5</v>
      </c>
      <c r="B42" s="33">
        <f>EXP(LN(C26/B26)/10)</f>
        <v>1.0171350529519534</v>
      </c>
      <c r="C42" s="33">
        <f>EXP(LN(7.42/6.7)/10)</f>
        <v>1.010259423758787</v>
      </c>
      <c r="D42" s="33">
        <f>EXP(LN(C30/B30)/10)</f>
        <v>1.0249932301052076</v>
      </c>
      <c r="E42" s="33">
        <f>EXP(LN(E30/D30)/10)</f>
        <v>1.0382755526510514</v>
      </c>
      <c r="F42" s="33">
        <f>EXP(LN(C34/B34)/10)</f>
        <v>1.0047514765236958</v>
      </c>
      <c r="G42" s="33">
        <f>EXP(LN(1.13/1.01)/10)</f>
        <v>1.0112899864210472</v>
      </c>
      <c r="H42" s="19" t="s">
        <v>7</v>
      </c>
      <c r="I42" s="18">
        <v>6.3791621874088298</v>
      </c>
      <c r="J42" s="17">
        <v>12.608828942169799</v>
      </c>
      <c r="K42" s="17">
        <v>21.616128729840799</v>
      </c>
      <c r="L42" s="18">
        <v>1</v>
      </c>
      <c r="M42" s="17">
        <v>1.9765650365587295</v>
      </c>
      <c r="N42" s="17">
        <v>3.3885529313718727</v>
      </c>
      <c r="P42" s="19" t="s">
        <v>7</v>
      </c>
      <c r="Q42" s="17">
        <v>1.9765650365587295</v>
      </c>
      <c r="R42" s="17">
        <v>1.5719348167859721</v>
      </c>
      <c r="S42" s="17">
        <v>1.6714732707751372</v>
      </c>
      <c r="T42" s="17">
        <v>1.8383639543005927</v>
      </c>
      <c r="U42" s="17">
        <v>1.6197569879515934</v>
      </c>
      <c r="AB42" t="s">
        <v>8</v>
      </c>
      <c r="AC42" s="43">
        <v>552</v>
      </c>
      <c r="AD42" s="112">
        <v>128</v>
      </c>
      <c r="AE42" s="64">
        <v>1.37496</v>
      </c>
      <c r="AF42" s="13">
        <f t="shared" si="5"/>
        <v>376.00512000000003</v>
      </c>
    </row>
    <row r="43" spans="1:39" ht="13" x14ac:dyDescent="0.3">
      <c r="A43" s="45" t="s">
        <v>136</v>
      </c>
      <c r="B43" s="2"/>
      <c r="C43" s="32" t="s">
        <v>135</v>
      </c>
      <c r="D43" s="47" t="s">
        <v>119</v>
      </c>
      <c r="E43" s="32" t="s">
        <v>116</v>
      </c>
      <c r="F43" s="32" t="s">
        <v>134</v>
      </c>
      <c r="H43" s="19" t="s">
        <v>5</v>
      </c>
      <c r="I43" s="18">
        <v>0.54512602371013597</v>
      </c>
      <c r="J43" s="17">
        <v>1.3023516351223401</v>
      </c>
      <c r="K43" s="17">
        <v>2.6969910390122598</v>
      </c>
      <c r="L43" s="18">
        <v>1</v>
      </c>
      <c r="M43" s="17">
        <v>2.3890835852203773</v>
      </c>
      <c r="N43" s="17">
        <v>4.9474633785716158</v>
      </c>
      <c r="P43" s="19" t="s">
        <v>5</v>
      </c>
      <c r="Q43" s="17">
        <v>2.3890835852203773</v>
      </c>
      <c r="R43" s="17">
        <v>1.693932141463165</v>
      </c>
      <c r="S43" s="17">
        <v>1.7930380806668877</v>
      </c>
      <c r="T43" s="17">
        <v>1.9861743428428691</v>
      </c>
      <c r="U43" s="17">
        <v>1.680921023835563</v>
      </c>
      <c r="AB43" t="s">
        <v>6</v>
      </c>
      <c r="AC43" s="43">
        <v>456</v>
      </c>
      <c r="AD43" s="112">
        <v>32</v>
      </c>
      <c r="AE43" s="64">
        <v>2.4729999999999994</v>
      </c>
      <c r="AF43" s="13">
        <f t="shared" si="5"/>
        <v>376.86400000000003</v>
      </c>
    </row>
    <row r="44" spans="1:39" ht="13" x14ac:dyDescent="0.3">
      <c r="A44" s="2" t="s">
        <v>133</v>
      </c>
      <c r="B44" s="2"/>
      <c r="C44" s="33">
        <v>1.0149999999999999</v>
      </c>
      <c r="D44" s="33">
        <v>1.022</v>
      </c>
      <c r="E44" s="33">
        <v>1.016</v>
      </c>
      <c r="F44" s="33"/>
      <c r="H44" s="19" t="s">
        <v>3</v>
      </c>
      <c r="I44" s="18">
        <v>0.38766328749050305</v>
      </c>
      <c r="J44" s="17">
        <v>0.55939255308293001</v>
      </c>
      <c r="K44" s="17">
        <v>0.94718890994774907</v>
      </c>
      <c r="L44" s="18">
        <v>1</v>
      </c>
      <c r="M44" s="17">
        <v>1.442985629885404</v>
      </c>
      <c r="N44" s="17">
        <v>2.4433288900769412</v>
      </c>
      <c r="P44" s="19" t="s">
        <v>3</v>
      </c>
      <c r="Q44" s="17">
        <v>1.442985629885404</v>
      </c>
      <c r="R44" s="17">
        <v>1.1316338534469594</v>
      </c>
      <c r="S44" s="17">
        <v>1.1002501418084503</v>
      </c>
      <c r="T44" s="17">
        <v>1.1955928010898076</v>
      </c>
      <c r="U44" s="17">
        <v>1.1568665485467211</v>
      </c>
      <c r="AB44" s="37" t="s">
        <v>4</v>
      </c>
      <c r="AC44" s="40">
        <v>462</v>
      </c>
      <c r="AD44" s="112">
        <v>38</v>
      </c>
      <c r="AE44" s="63">
        <v>1.7601199999999992</v>
      </c>
      <c r="AF44" s="13">
        <f t="shared" si="5"/>
        <v>395.11544000000004</v>
      </c>
    </row>
    <row r="45" spans="1:39" x14ac:dyDescent="0.25">
      <c r="A45" s="2" t="s">
        <v>132</v>
      </c>
      <c r="B45" s="33"/>
      <c r="C45" s="33">
        <f>EXP(LN(2.68/2.25)/10)</f>
        <v>1.0176424798119541</v>
      </c>
      <c r="D45" s="33">
        <f>EXP(LN(2.48/1.99)/10)</f>
        <v>1.0222564523411595</v>
      </c>
      <c r="E45" s="33">
        <f>EXP(LN(1.71/1.44)/10)</f>
        <v>1.017333537754854</v>
      </c>
      <c r="F45" s="33">
        <f>EXP(LN(0.99/0.79)/10)</f>
        <v>1.0228237653735259</v>
      </c>
    </row>
    <row r="46" spans="1:39" ht="18.5" x14ac:dyDescent="0.25">
      <c r="A46" s="2"/>
      <c r="B46" s="2"/>
      <c r="C46" s="2"/>
      <c r="D46" s="10"/>
      <c r="E46" s="2"/>
      <c r="F46" s="2"/>
      <c r="H46" s="30" t="s">
        <v>130</v>
      </c>
      <c r="I46" s="29"/>
      <c r="J46" s="28"/>
      <c r="K46" s="28"/>
      <c r="L46" s="29"/>
      <c r="M46" s="28"/>
      <c r="N46" s="28"/>
      <c r="P46" s="24">
        <v>2050</v>
      </c>
      <c r="Q46" s="30" t="s">
        <v>131</v>
      </c>
      <c r="R46" s="30" t="s">
        <v>130</v>
      </c>
      <c r="S46" s="30" t="s">
        <v>124</v>
      </c>
      <c r="T46" s="30" t="s">
        <v>109</v>
      </c>
      <c r="U46" s="30" t="s">
        <v>95</v>
      </c>
    </row>
    <row r="47" spans="1:39" ht="13" x14ac:dyDescent="0.3">
      <c r="A47" s="32" t="s">
        <v>129</v>
      </c>
      <c r="B47" s="50" t="s">
        <v>128</v>
      </c>
      <c r="C47" s="49">
        <v>2025</v>
      </c>
      <c r="D47" s="50"/>
      <c r="E47" s="49"/>
      <c r="F47" s="2"/>
      <c r="H47" s="27"/>
      <c r="I47" s="156" t="s">
        <v>127</v>
      </c>
      <c r="J47" s="156"/>
      <c r="K47" s="156"/>
      <c r="L47" s="156" t="s">
        <v>91</v>
      </c>
      <c r="M47" s="156"/>
      <c r="N47" s="156"/>
      <c r="P47" s="19" t="s">
        <v>17</v>
      </c>
      <c r="Q47" s="17">
        <v>2.8114081740523451</v>
      </c>
      <c r="R47" s="17">
        <v>1.3935151025090879</v>
      </c>
      <c r="S47" s="17">
        <v>2.4788508895922736</v>
      </c>
      <c r="T47" s="17">
        <v>2.3650172440957076</v>
      </c>
      <c r="U47" s="17">
        <v>1.2802893785372591</v>
      </c>
    </row>
    <row r="48" spans="1:39" ht="13" x14ac:dyDescent="0.3">
      <c r="A48" s="35" t="s">
        <v>11</v>
      </c>
      <c r="B48" s="1">
        <v>924</v>
      </c>
      <c r="C48" s="44">
        <v>1218</v>
      </c>
      <c r="D48" s="44"/>
      <c r="E48" s="44"/>
      <c r="F48" s="2"/>
      <c r="H48" s="26"/>
      <c r="I48" s="25">
        <v>2010</v>
      </c>
      <c r="J48" s="25">
        <v>2030</v>
      </c>
      <c r="K48" s="24">
        <v>2050</v>
      </c>
      <c r="L48" s="25">
        <v>2010</v>
      </c>
      <c r="M48" s="25">
        <v>2030</v>
      </c>
      <c r="N48" s="24">
        <v>2050</v>
      </c>
      <c r="P48" s="19" t="s">
        <v>15</v>
      </c>
      <c r="Q48" s="17">
        <v>1.9343158299626912</v>
      </c>
      <c r="R48" s="17">
        <v>1.5049050954888128</v>
      </c>
      <c r="S48" s="17">
        <v>1.4876260210590491</v>
      </c>
      <c r="T48" s="17">
        <v>1.7030498481991594</v>
      </c>
      <c r="U48" s="17">
        <v>1.5545006456278867</v>
      </c>
    </row>
    <row r="49" spans="1:27" ht="13" x14ac:dyDescent="0.3">
      <c r="A49" s="34" t="s">
        <v>7</v>
      </c>
      <c r="B49" s="44">
        <v>2345</v>
      </c>
      <c r="C49" s="44">
        <v>2465</v>
      </c>
      <c r="D49" s="44"/>
      <c r="E49" s="44"/>
      <c r="F49" s="2"/>
      <c r="H49" s="19" t="s">
        <v>17</v>
      </c>
      <c r="I49" s="18">
        <v>0.41938377000701699</v>
      </c>
      <c r="J49" s="17">
        <v>0.60240562526606001</v>
      </c>
      <c r="K49" s="17">
        <v>0.58441761725197605</v>
      </c>
      <c r="L49" s="18">
        <v>1</v>
      </c>
      <c r="M49" s="17">
        <v>1.4364066240712672</v>
      </c>
      <c r="N49" s="17">
        <v>1.3935151025090879</v>
      </c>
      <c r="P49" s="19" t="s">
        <v>13</v>
      </c>
      <c r="Q49" s="17">
        <v>4.9093595458801511</v>
      </c>
      <c r="R49" s="17">
        <v>2.7527277276289985</v>
      </c>
      <c r="S49" s="17">
        <v>2.3857358988873036</v>
      </c>
      <c r="T49" s="17">
        <v>3.065491445949764</v>
      </c>
      <c r="U49" s="17">
        <v>2.1052638061959916</v>
      </c>
    </row>
    <row r="50" spans="1:27" ht="13" x14ac:dyDescent="0.3">
      <c r="A50" s="34" t="s">
        <v>5</v>
      </c>
      <c r="B50" s="44">
        <v>278</v>
      </c>
      <c r="C50" s="44">
        <v>361</v>
      </c>
      <c r="D50" s="44"/>
      <c r="E50" s="44"/>
      <c r="F50" s="2"/>
      <c r="H50" s="19" t="s">
        <v>15</v>
      </c>
      <c r="I50" s="18">
        <v>6.8294472909511796E-3</v>
      </c>
      <c r="J50" s="17">
        <v>9.3989185556332695E-3</v>
      </c>
      <c r="K50" s="17">
        <v>1.0277670027524699E-2</v>
      </c>
      <c r="L50" s="18">
        <v>1</v>
      </c>
      <c r="M50" s="17">
        <v>1.3762341453438796</v>
      </c>
      <c r="N50" s="17">
        <v>1.5049050954888128</v>
      </c>
      <c r="P50" s="21" t="s">
        <v>11</v>
      </c>
      <c r="Q50" s="17">
        <v>3.6783106318115948</v>
      </c>
      <c r="R50" s="17">
        <v>1.5295660078704221</v>
      </c>
      <c r="S50" s="17">
        <v>1.8923243461097963</v>
      </c>
      <c r="T50" s="17">
        <v>2.6771189135728863</v>
      </c>
      <c r="U50" s="17">
        <v>1.7706569385749455</v>
      </c>
    </row>
    <row r="51" spans="1:27" ht="13" x14ac:dyDescent="0.3">
      <c r="A51" s="32"/>
      <c r="B51" s="47" t="s">
        <v>126</v>
      </c>
      <c r="C51" s="45">
        <v>2025</v>
      </c>
      <c r="D51" s="48"/>
      <c r="E51" s="48"/>
      <c r="F51" s="2"/>
      <c r="H51" s="19" t="s">
        <v>13</v>
      </c>
      <c r="I51" s="18">
        <v>0.21686515255629102</v>
      </c>
      <c r="J51" s="17">
        <v>0.370778840993573</v>
      </c>
      <c r="K51" s="17">
        <v>0.59697071859819506</v>
      </c>
      <c r="L51" s="18">
        <v>1</v>
      </c>
      <c r="M51" s="17">
        <v>1.7097207025795953</v>
      </c>
      <c r="N51" s="17">
        <v>2.7527277276289985</v>
      </c>
      <c r="P51" s="19" t="s">
        <v>9</v>
      </c>
      <c r="Q51" s="17">
        <v>2.3383140280869261</v>
      </c>
      <c r="R51" s="17">
        <v>1.4590000497919977</v>
      </c>
      <c r="S51" s="17">
        <v>1.8360140799381548</v>
      </c>
      <c r="T51" s="17">
        <v>1.9260264665975679</v>
      </c>
      <c r="U51" s="17">
        <v>1.398990218662957</v>
      </c>
    </row>
    <row r="52" spans="1:27" ht="13" x14ac:dyDescent="0.3">
      <c r="A52" s="35" t="s">
        <v>11</v>
      </c>
      <c r="B52" s="44">
        <v>1650</v>
      </c>
      <c r="C52" s="44">
        <v>1988</v>
      </c>
      <c r="D52" s="44"/>
      <c r="E52" s="44"/>
      <c r="F52" s="2"/>
      <c r="H52" s="21" t="s">
        <v>11</v>
      </c>
      <c r="I52" s="18">
        <v>0.54859441329242897</v>
      </c>
      <c r="J52" s="17">
        <v>0.75134712183003105</v>
      </c>
      <c r="K52" s="17">
        <v>0.83911136667971697</v>
      </c>
      <c r="L52" s="18">
        <v>1</v>
      </c>
      <c r="M52" s="17">
        <v>1.3695858062439372</v>
      </c>
      <c r="N52" s="17">
        <v>1.5295660078704221</v>
      </c>
      <c r="P52" s="19" t="s">
        <v>7</v>
      </c>
      <c r="Q52" s="17">
        <v>3.3885529313718727</v>
      </c>
      <c r="R52" s="17">
        <v>2.1836050192961336</v>
      </c>
      <c r="S52" s="17">
        <v>2.365783248605406</v>
      </c>
      <c r="T52" s="17">
        <v>2.9333831690096623</v>
      </c>
      <c r="U52" s="17">
        <v>2.2623858857178214</v>
      </c>
    </row>
    <row r="53" spans="1:27" ht="13" x14ac:dyDescent="0.3">
      <c r="A53" s="34" t="s">
        <v>7</v>
      </c>
      <c r="B53" s="44">
        <v>3100</v>
      </c>
      <c r="C53" s="44">
        <v>3598</v>
      </c>
      <c r="D53" s="44"/>
      <c r="E53" s="44"/>
      <c r="F53" s="2"/>
      <c r="H53" s="19" t="s">
        <v>9</v>
      </c>
      <c r="I53" s="18">
        <v>2.9567201725999902E-3</v>
      </c>
      <c r="J53" s="17">
        <v>3.75351615866147E-3</v>
      </c>
      <c r="K53" s="17">
        <v>4.31385487904439E-3</v>
      </c>
      <c r="L53" s="18">
        <v>1</v>
      </c>
      <c r="M53" s="17">
        <v>1.269486437521349</v>
      </c>
      <c r="N53" s="17">
        <v>1.4590000497919977</v>
      </c>
      <c r="P53" s="19" t="s">
        <v>5</v>
      </c>
      <c r="Q53" s="17">
        <v>4.9474633785716158</v>
      </c>
      <c r="R53" s="17">
        <v>2.4719617772704394</v>
      </c>
      <c r="S53" s="17">
        <v>2.8112771309096138</v>
      </c>
      <c r="T53" s="17">
        <v>3.4366215711017558</v>
      </c>
      <c r="U53" s="17">
        <v>2.4463433203899148</v>
      </c>
    </row>
    <row r="54" spans="1:27" ht="13" x14ac:dyDescent="0.3">
      <c r="A54" s="34" t="s">
        <v>5</v>
      </c>
      <c r="B54" s="44">
        <v>976</v>
      </c>
      <c r="C54" s="2">
        <v>1217</v>
      </c>
      <c r="D54" s="44"/>
      <c r="E54" s="44"/>
      <c r="F54" s="2"/>
      <c r="H54" s="19" t="s">
        <v>7</v>
      </c>
      <c r="I54" s="18">
        <v>1.22650674113985</v>
      </c>
      <c r="J54" s="17">
        <v>1.9279886494204299</v>
      </c>
      <c r="K54" s="17">
        <v>2.6782062761535199</v>
      </c>
      <c r="L54" s="18">
        <v>1</v>
      </c>
      <c r="M54" s="17">
        <v>1.5719348167859721</v>
      </c>
      <c r="N54" s="17">
        <v>2.1836050192961336</v>
      </c>
      <c r="P54" s="19" t="s">
        <v>3</v>
      </c>
      <c r="Q54" s="17">
        <v>2.4433288900769412</v>
      </c>
      <c r="R54" s="17">
        <v>1.1828342843818149</v>
      </c>
      <c r="S54" s="17">
        <v>1.2143219619802681</v>
      </c>
      <c r="T54" s="17">
        <v>1.4798278999031433</v>
      </c>
      <c r="U54" s="17">
        <v>1.1592849752435348</v>
      </c>
    </row>
    <row r="55" spans="1:27" ht="13" x14ac:dyDescent="0.3">
      <c r="A55" s="1"/>
      <c r="B55" s="48" t="s">
        <v>125</v>
      </c>
      <c r="C55" s="32">
        <v>2025</v>
      </c>
      <c r="F55" s="2"/>
      <c r="H55" s="19" t="s">
        <v>5</v>
      </c>
      <c r="I55" s="18">
        <v>8.5584019784922707E-2</v>
      </c>
      <c r="J55" s="17">
        <v>0.14497352190929999</v>
      </c>
      <c r="K55" s="17">
        <v>0.21156042565348598</v>
      </c>
      <c r="L55" s="18">
        <v>1</v>
      </c>
      <c r="M55" s="17">
        <v>1.693932141463165</v>
      </c>
      <c r="N55" s="17">
        <v>2.4719617772704394</v>
      </c>
    </row>
    <row r="56" spans="1:27" ht="13" x14ac:dyDescent="0.3">
      <c r="A56" s="35" t="s">
        <v>11</v>
      </c>
      <c r="B56" s="44">
        <v>140</v>
      </c>
      <c r="C56" s="44">
        <v>127</v>
      </c>
      <c r="D56" s="10"/>
      <c r="E56" s="2"/>
      <c r="F56" s="2"/>
      <c r="H56" s="19" t="s">
        <v>3</v>
      </c>
      <c r="I56" s="18">
        <v>0.30419873543085801</v>
      </c>
      <c r="J56" s="17">
        <v>0.34424158718931397</v>
      </c>
      <c r="K56" s="17">
        <v>0.359816693533212</v>
      </c>
      <c r="L56" s="18">
        <v>1</v>
      </c>
      <c r="M56" s="17">
        <v>1.1316338534469594</v>
      </c>
      <c r="N56" s="17">
        <v>1.1828342843818149</v>
      </c>
    </row>
    <row r="57" spans="1:27" x14ac:dyDescent="0.25">
      <c r="A57" s="34" t="s">
        <v>7</v>
      </c>
      <c r="B57" s="44">
        <v>435</v>
      </c>
      <c r="C57" s="44">
        <v>428</v>
      </c>
      <c r="D57" s="10"/>
      <c r="E57" s="2"/>
      <c r="F57" s="2"/>
    </row>
    <row r="58" spans="1:27" ht="18.5" x14ac:dyDescent="0.25">
      <c r="A58" s="34" t="s">
        <v>5</v>
      </c>
      <c r="B58" s="44">
        <v>306</v>
      </c>
      <c r="C58" s="44">
        <v>298</v>
      </c>
      <c r="D58" s="10"/>
      <c r="E58" s="2"/>
      <c r="F58" s="2"/>
      <c r="H58" s="30" t="s">
        <v>124</v>
      </c>
      <c r="I58" s="29"/>
      <c r="J58" s="28"/>
      <c r="K58" s="28"/>
      <c r="L58" s="29"/>
      <c r="M58" s="28"/>
      <c r="N58" s="28"/>
    </row>
    <row r="59" spans="1:27" ht="13" x14ac:dyDescent="0.25">
      <c r="A59" s="2"/>
      <c r="B59" s="47" t="s">
        <v>123</v>
      </c>
      <c r="C59" s="45">
        <v>2025</v>
      </c>
      <c r="D59" s="10"/>
      <c r="E59" s="2"/>
      <c r="F59" s="2"/>
      <c r="H59" s="27"/>
      <c r="I59" s="156" t="s">
        <v>92</v>
      </c>
      <c r="J59" s="156"/>
      <c r="K59" s="156"/>
      <c r="L59" s="156" t="s">
        <v>91</v>
      </c>
      <c r="M59" s="156"/>
      <c r="N59" s="156"/>
    </row>
    <row r="60" spans="1:27" ht="13.5" thickBot="1" x14ac:dyDescent="0.3">
      <c r="A60" s="35" t="s">
        <v>11</v>
      </c>
      <c r="B60" s="23">
        <v>460</v>
      </c>
      <c r="C60" s="44">
        <v>599</v>
      </c>
      <c r="D60" s="10"/>
      <c r="E60" s="2"/>
      <c r="F60" s="2"/>
      <c r="H60" s="26"/>
      <c r="I60" s="25">
        <v>2010</v>
      </c>
      <c r="J60" s="25">
        <v>2030</v>
      </c>
      <c r="K60" s="24">
        <v>2050</v>
      </c>
      <c r="L60" s="25">
        <v>2010</v>
      </c>
      <c r="M60" s="25">
        <v>2030</v>
      </c>
      <c r="N60" s="24">
        <v>2050</v>
      </c>
      <c r="P60" s="46" t="s">
        <v>21</v>
      </c>
      <c r="Q60" s="22" t="s">
        <v>122</v>
      </c>
      <c r="R60" s="22" t="s">
        <v>121</v>
      </c>
      <c r="S60" s="22" t="s">
        <v>120</v>
      </c>
      <c r="T60" s="22" t="s">
        <v>119</v>
      </c>
      <c r="U60" s="22" t="s">
        <v>118</v>
      </c>
      <c r="V60" s="22" t="s">
        <v>117</v>
      </c>
      <c r="W60" s="22" t="s">
        <v>116</v>
      </c>
      <c r="X60" s="22" t="s">
        <v>115</v>
      </c>
      <c r="Y60" s="22" t="s">
        <v>114</v>
      </c>
      <c r="Z60" s="22" t="s">
        <v>113</v>
      </c>
      <c r="AA60" s="22" t="s">
        <v>112</v>
      </c>
    </row>
    <row r="61" spans="1:27" ht="13" x14ac:dyDescent="0.3">
      <c r="A61" s="34" t="s">
        <v>7</v>
      </c>
      <c r="B61" s="44">
        <v>1186</v>
      </c>
      <c r="C61" s="44">
        <v>1375</v>
      </c>
      <c r="D61" s="10"/>
      <c r="E61" s="2"/>
      <c r="F61" s="2"/>
      <c r="H61" s="19" t="s">
        <v>17</v>
      </c>
      <c r="I61" s="18">
        <v>2.3928491788422002</v>
      </c>
      <c r="J61" s="17">
        <v>4.3953797237480803</v>
      </c>
      <c r="K61" s="17">
        <v>5.9315163156331296</v>
      </c>
      <c r="L61" s="18">
        <v>1</v>
      </c>
      <c r="M61" s="17">
        <v>1.8368812220228694</v>
      </c>
      <c r="N61" s="17">
        <v>2.4788508895922736</v>
      </c>
      <c r="P61" s="1" t="s">
        <v>18</v>
      </c>
      <c r="Q61" s="13">
        <v>314</v>
      </c>
      <c r="R61" s="13">
        <v>337</v>
      </c>
      <c r="S61" s="13">
        <v>328</v>
      </c>
      <c r="T61" s="13">
        <v>466</v>
      </c>
      <c r="U61" s="13">
        <v>982</v>
      </c>
      <c r="V61" s="13">
        <v>1300</v>
      </c>
      <c r="W61" s="13">
        <v>500</v>
      </c>
      <c r="X61" s="13">
        <v>423</v>
      </c>
      <c r="Y61" s="42">
        <v>1500</v>
      </c>
      <c r="Z61" s="42">
        <v>90</v>
      </c>
      <c r="AA61" s="41">
        <v>281</v>
      </c>
    </row>
    <row r="62" spans="1:27" ht="13" x14ac:dyDescent="0.3">
      <c r="A62" s="34" t="s">
        <v>5</v>
      </c>
      <c r="B62" s="23">
        <v>47</v>
      </c>
      <c r="C62" s="44">
        <v>52</v>
      </c>
      <c r="D62" s="10"/>
      <c r="E62" s="2"/>
      <c r="F62" s="2"/>
      <c r="H62" s="19" t="s">
        <v>15</v>
      </c>
      <c r="I62" s="18">
        <v>0.25513526394860198</v>
      </c>
      <c r="J62" s="17">
        <v>0.33227865823611397</v>
      </c>
      <c r="K62" s="17">
        <v>0.37954585753970899</v>
      </c>
      <c r="L62" s="18">
        <v>1</v>
      </c>
      <c r="M62" s="17">
        <v>1.3023627274944354</v>
      </c>
      <c r="N62" s="17">
        <v>1.4876260210590491</v>
      </c>
      <c r="P62" t="s">
        <v>14</v>
      </c>
      <c r="Q62" s="43">
        <v>326</v>
      </c>
      <c r="R62" s="43">
        <v>621</v>
      </c>
      <c r="S62" s="43">
        <v>457</v>
      </c>
      <c r="T62" s="43">
        <v>245</v>
      </c>
      <c r="U62" s="43">
        <v>984</v>
      </c>
      <c r="V62" s="41">
        <v>1128</v>
      </c>
      <c r="W62" s="41">
        <v>988</v>
      </c>
      <c r="X62" s="41">
        <v>522</v>
      </c>
      <c r="Y62" s="13">
        <v>1500</v>
      </c>
      <c r="Z62" s="13">
        <v>90</v>
      </c>
      <c r="AA62" s="41">
        <v>562</v>
      </c>
    </row>
    <row r="63" spans="1:27" ht="13" x14ac:dyDescent="0.3">
      <c r="A63" s="2"/>
      <c r="B63" s="32" t="s">
        <v>111</v>
      </c>
      <c r="C63" s="45">
        <v>2025</v>
      </c>
      <c r="D63" s="10"/>
      <c r="E63" s="2"/>
      <c r="F63" s="2"/>
      <c r="H63" s="19" t="s">
        <v>13</v>
      </c>
      <c r="I63" s="18">
        <v>2.8877705379332101</v>
      </c>
      <c r="J63" s="17">
        <v>4.7318442330486894</v>
      </c>
      <c r="K63" s="17">
        <v>6.8894578400963598</v>
      </c>
      <c r="L63" s="18">
        <v>1</v>
      </c>
      <c r="M63" s="17">
        <v>1.6385804103518871</v>
      </c>
      <c r="N63" s="17">
        <v>2.3857358988873036</v>
      </c>
      <c r="P63" t="s">
        <v>12</v>
      </c>
      <c r="Q63" s="41">
        <v>163</v>
      </c>
      <c r="R63" s="43">
        <v>250</v>
      </c>
      <c r="S63" s="43">
        <v>390</v>
      </c>
      <c r="T63" s="43">
        <v>193</v>
      </c>
      <c r="U63" s="43">
        <v>298</v>
      </c>
      <c r="V63" s="42">
        <v>1155.6666666666667</v>
      </c>
      <c r="W63" s="41">
        <v>179</v>
      </c>
      <c r="X63" s="41">
        <v>484</v>
      </c>
      <c r="Y63" s="13">
        <v>1500</v>
      </c>
      <c r="Z63" s="13">
        <v>90</v>
      </c>
      <c r="AA63" s="41">
        <v>754</v>
      </c>
    </row>
    <row r="64" spans="1:27" ht="13" x14ac:dyDescent="0.3">
      <c r="A64" s="35" t="s">
        <v>11</v>
      </c>
      <c r="B64" s="23">
        <v>311</v>
      </c>
      <c r="C64" s="23">
        <v>382</v>
      </c>
      <c r="D64" s="10"/>
      <c r="E64" s="2"/>
      <c r="F64" s="2"/>
      <c r="H64" s="21" t="s">
        <v>11</v>
      </c>
      <c r="I64" s="18">
        <v>2.6706663525337797</v>
      </c>
      <c r="J64" s="17">
        <v>4.0865029595478699</v>
      </c>
      <c r="K64" s="17">
        <v>5.0537669592359196</v>
      </c>
      <c r="L64" s="18">
        <v>1</v>
      </c>
      <c r="M64" s="17">
        <v>1.5301435747190297</v>
      </c>
      <c r="N64" s="17">
        <v>1.8923243461097963</v>
      </c>
      <c r="P64" t="s">
        <v>8</v>
      </c>
      <c r="Q64" s="42">
        <v>326</v>
      </c>
      <c r="R64" s="43">
        <v>500</v>
      </c>
      <c r="S64" s="43">
        <v>212</v>
      </c>
      <c r="T64" s="43">
        <v>299</v>
      </c>
      <c r="U64" s="43">
        <v>552</v>
      </c>
      <c r="V64" s="42">
        <v>1155.6666666666667</v>
      </c>
      <c r="W64" s="42">
        <v>795.5</v>
      </c>
      <c r="X64" s="42">
        <v>552.25</v>
      </c>
      <c r="Y64" s="13">
        <v>1500</v>
      </c>
      <c r="Z64" s="13">
        <v>90</v>
      </c>
      <c r="AA64" s="41">
        <v>407</v>
      </c>
    </row>
    <row r="65" spans="1:31" ht="13" x14ac:dyDescent="0.3">
      <c r="A65" s="34" t="s">
        <v>7</v>
      </c>
      <c r="B65" s="23">
        <v>1000</v>
      </c>
      <c r="C65" s="44">
        <v>1218</v>
      </c>
      <c r="D65" s="10"/>
      <c r="E65" s="2"/>
      <c r="F65" s="2"/>
      <c r="H65" s="19" t="s">
        <v>9</v>
      </c>
      <c r="I65" s="18">
        <v>0.38796420673729898</v>
      </c>
      <c r="J65" s="17">
        <v>0.55946511147619904</v>
      </c>
      <c r="K65" s="17">
        <v>0.7123077460817181</v>
      </c>
      <c r="L65" s="18">
        <v>1</v>
      </c>
      <c r="M65" s="17">
        <v>1.4420534208070075</v>
      </c>
      <c r="N65" s="17">
        <v>1.8360140799381548</v>
      </c>
      <c r="P65" t="s">
        <v>6</v>
      </c>
      <c r="Q65" s="41">
        <v>727</v>
      </c>
      <c r="R65" s="43">
        <v>672</v>
      </c>
      <c r="S65" s="43">
        <v>790</v>
      </c>
      <c r="T65" s="43">
        <v>164</v>
      </c>
      <c r="U65" s="43">
        <v>456</v>
      </c>
      <c r="V65" s="42">
        <v>1155.6666666666667</v>
      </c>
      <c r="W65" s="41">
        <v>1515</v>
      </c>
      <c r="X65" s="41">
        <v>780</v>
      </c>
      <c r="Y65" s="13">
        <v>1500</v>
      </c>
      <c r="Z65" s="13">
        <v>90</v>
      </c>
      <c r="AA65" s="41">
        <v>801</v>
      </c>
    </row>
    <row r="66" spans="1:31" ht="13" x14ac:dyDescent="0.3">
      <c r="A66" s="34" t="s">
        <v>5</v>
      </c>
      <c r="B66" s="23">
        <v>25</v>
      </c>
      <c r="C66" s="23">
        <v>37</v>
      </c>
      <c r="D66" s="10"/>
      <c r="E66" s="2"/>
      <c r="F66" s="2"/>
      <c r="H66" s="19" t="s">
        <v>7</v>
      </c>
      <c r="I66" s="18">
        <v>7.1669116359218599</v>
      </c>
      <c r="J66" s="17">
        <v>11.9793012334507</v>
      </c>
      <c r="K66" s="17">
        <v>16.955359492499102</v>
      </c>
      <c r="L66" s="18">
        <v>1</v>
      </c>
      <c r="M66" s="17">
        <v>1.6714732707751372</v>
      </c>
      <c r="N66" s="17">
        <v>2.365783248605406</v>
      </c>
      <c r="P66" s="37" t="s">
        <v>4</v>
      </c>
      <c r="Q66" s="38">
        <v>382.5</v>
      </c>
      <c r="R66" s="40">
        <v>457</v>
      </c>
      <c r="S66" s="38">
        <v>435.4</v>
      </c>
      <c r="T66" s="40">
        <v>308</v>
      </c>
      <c r="U66" s="40">
        <v>462</v>
      </c>
      <c r="V66" s="40">
        <v>1039</v>
      </c>
      <c r="W66" s="38">
        <v>795.5</v>
      </c>
      <c r="X66" s="38">
        <v>552.25</v>
      </c>
      <c r="Y66" s="39">
        <v>1500</v>
      </c>
      <c r="Z66" s="39">
        <v>90</v>
      </c>
      <c r="AA66" s="38">
        <v>544</v>
      </c>
    </row>
    <row r="67" spans="1:31" ht="13.5" thickBot="1" x14ac:dyDescent="0.35">
      <c r="A67" s="23"/>
      <c r="B67" s="31" t="s">
        <v>110</v>
      </c>
      <c r="C67" s="31">
        <v>2025</v>
      </c>
      <c r="D67" s="10"/>
      <c r="E67" s="2"/>
      <c r="F67" s="2"/>
      <c r="H67" s="19" t="s">
        <v>5</v>
      </c>
      <c r="I67" s="18">
        <v>1.9895653206400801</v>
      </c>
      <c r="J67" s="17">
        <v>3.5673663838818901</v>
      </c>
      <c r="K67" s="17">
        <v>5.5932194863663103</v>
      </c>
      <c r="L67" s="18">
        <v>1</v>
      </c>
      <c r="M67" s="17">
        <v>1.7930380806668877</v>
      </c>
      <c r="N67" s="17">
        <v>2.8112771309096138</v>
      </c>
      <c r="P67" s="20"/>
      <c r="Q67" s="20" t="s">
        <v>73</v>
      </c>
      <c r="R67" s="20" t="s">
        <v>72</v>
      </c>
      <c r="S67" s="20" t="s">
        <v>71</v>
      </c>
      <c r="T67" s="20" t="s">
        <v>70</v>
      </c>
      <c r="U67" s="20" t="s">
        <v>69</v>
      </c>
      <c r="V67" s="22" t="s">
        <v>68</v>
      </c>
      <c r="W67" s="22" t="s">
        <v>67</v>
      </c>
      <c r="X67" s="22" t="s">
        <v>66</v>
      </c>
      <c r="Y67" s="22" t="s">
        <v>65</v>
      </c>
      <c r="Z67" s="22" t="s">
        <v>64</v>
      </c>
      <c r="AA67" s="22" t="s">
        <v>63</v>
      </c>
      <c r="AB67" s="22" t="s">
        <v>62</v>
      </c>
      <c r="AC67" s="22" t="s">
        <v>61</v>
      </c>
      <c r="AD67" s="22" t="s">
        <v>60</v>
      </c>
      <c r="AE67" t="s">
        <v>59</v>
      </c>
    </row>
    <row r="68" spans="1:31" ht="13" x14ac:dyDescent="0.3">
      <c r="A68" s="35" t="s">
        <v>11</v>
      </c>
      <c r="B68" s="23">
        <v>303</v>
      </c>
      <c r="C68" s="23">
        <v>307</v>
      </c>
      <c r="D68" s="10"/>
      <c r="E68" s="2"/>
      <c r="F68" s="2"/>
      <c r="H68" s="19" t="s">
        <v>3</v>
      </c>
      <c r="I68" s="18">
        <v>2.1499733731916999</v>
      </c>
      <c r="J68" s="17">
        <v>2.3655085087385599</v>
      </c>
      <c r="K68" s="17">
        <v>2.6107598847394802</v>
      </c>
      <c r="L68" s="18">
        <v>1</v>
      </c>
      <c r="M68" s="17">
        <v>1.1002501418084503</v>
      </c>
      <c r="N68" s="17">
        <v>1.2143219619802681</v>
      </c>
      <c r="P68" s="1" t="s">
        <v>18</v>
      </c>
      <c r="Q68">
        <v>438.53136000000001</v>
      </c>
      <c r="R68">
        <v>598.54903999999999</v>
      </c>
      <c r="S68">
        <v>1104.9425799999999</v>
      </c>
      <c r="T68">
        <v>2727.9070000000002</v>
      </c>
      <c r="U68">
        <v>813.73000000000025</v>
      </c>
      <c r="W68">
        <v>11773.625599999999</v>
      </c>
      <c r="X68">
        <v>113.23199999999999</v>
      </c>
      <c r="Y68">
        <v>722.774</v>
      </c>
      <c r="Z68">
        <v>673.92696000000001</v>
      </c>
      <c r="AA68">
        <v>3149.8759999999997</v>
      </c>
      <c r="AB68">
        <v>5281.040399999998</v>
      </c>
      <c r="AD68">
        <v>793.49527999999998</v>
      </c>
      <c r="AE68">
        <v>4115.7307799999999</v>
      </c>
    </row>
    <row r="69" spans="1:31" x14ac:dyDescent="0.25">
      <c r="A69" s="34" t="s">
        <v>7</v>
      </c>
      <c r="B69" s="23">
        <v>199</v>
      </c>
      <c r="C69" s="23">
        <v>203</v>
      </c>
      <c r="D69" s="10"/>
      <c r="E69" s="2"/>
      <c r="F69" s="2"/>
      <c r="P69" t="s">
        <v>14</v>
      </c>
      <c r="Q69">
        <v>1188.1841400000003</v>
      </c>
      <c r="R69">
        <v>685.67169999999987</v>
      </c>
      <c r="S69">
        <v>6984.2437599999994</v>
      </c>
      <c r="T69">
        <v>7521.3959999999997</v>
      </c>
      <c r="U69">
        <v>2519.7556799999993</v>
      </c>
      <c r="W69">
        <v>15943.057380000002</v>
      </c>
      <c r="X69">
        <v>704.43756000000008</v>
      </c>
      <c r="Y69">
        <v>912.32639999999992</v>
      </c>
      <c r="Z69">
        <v>1345.0886399999999</v>
      </c>
      <c r="AA69">
        <v>3639.8399999999997</v>
      </c>
      <c r="AB69">
        <v>10013.422520000002</v>
      </c>
      <c r="AD69">
        <v>1318.2647999999999</v>
      </c>
      <c r="AE69">
        <v>12330.224639999999</v>
      </c>
    </row>
    <row r="70" spans="1:31" ht="18.5" x14ac:dyDescent="0.25">
      <c r="A70" s="34" t="s">
        <v>5</v>
      </c>
      <c r="B70" s="23">
        <v>148</v>
      </c>
      <c r="C70" s="23">
        <v>150</v>
      </c>
      <c r="D70" s="10"/>
      <c r="E70" s="2"/>
      <c r="F70" s="2"/>
      <c r="H70" s="30" t="s">
        <v>109</v>
      </c>
      <c r="I70" s="29"/>
      <c r="J70" s="28"/>
      <c r="K70" s="28"/>
      <c r="L70" s="29"/>
      <c r="M70" s="28"/>
      <c r="N70" s="28"/>
      <c r="P70" t="s">
        <v>12</v>
      </c>
      <c r="Q70">
        <v>419.71499999999986</v>
      </c>
      <c r="R70">
        <v>273.96735999999993</v>
      </c>
      <c r="S70">
        <v>20861.988679999995</v>
      </c>
      <c r="T70">
        <v>5051.451</v>
      </c>
      <c r="U70">
        <v>167.45808</v>
      </c>
      <c r="W70">
        <v>4127.3778000000002</v>
      </c>
      <c r="X70">
        <v>172.88499999999999</v>
      </c>
      <c r="Y70">
        <v>687.69100666666679</v>
      </c>
      <c r="Z70">
        <v>456.61467199999987</v>
      </c>
      <c r="AA70">
        <v>1789.9399999999991</v>
      </c>
      <c r="AB70">
        <v>1877.6002600000002</v>
      </c>
      <c r="AD70">
        <v>145.24520000000001</v>
      </c>
      <c r="AE70">
        <v>9707.0749599999999</v>
      </c>
    </row>
    <row r="71" spans="1:31" ht="13" x14ac:dyDescent="0.25">
      <c r="A71" s="2"/>
      <c r="B71" s="31" t="s">
        <v>108</v>
      </c>
      <c r="C71" s="31">
        <v>2025</v>
      </c>
      <c r="D71" s="10"/>
      <c r="E71" s="2"/>
      <c r="F71" s="2"/>
      <c r="H71" s="27"/>
      <c r="I71" s="156" t="s">
        <v>92</v>
      </c>
      <c r="J71" s="156"/>
      <c r="K71" s="156"/>
      <c r="L71" s="156" t="s">
        <v>91</v>
      </c>
      <c r="M71" s="156"/>
      <c r="N71" s="156"/>
      <c r="P71" t="s">
        <v>8</v>
      </c>
      <c r="Q71">
        <v>758.44999999999982</v>
      </c>
      <c r="R71">
        <v>600.9959799999998</v>
      </c>
      <c r="S71">
        <v>6995.3938999999982</v>
      </c>
      <c r="T71">
        <v>3215.2829999999994</v>
      </c>
      <c r="U71">
        <v>2657.3200199999997</v>
      </c>
      <c r="W71">
        <v>1980.47856</v>
      </c>
      <c r="X71">
        <v>735.44999999999982</v>
      </c>
      <c r="Y71">
        <v>1537.7300666666665</v>
      </c>
      <c r="Z71">
        <v>758.97791999999993</v>
      </c>
      <c r="AA71">
        <v>3412.3200000000006</v>
      </c>
      <c r="AB71">
        <v>2581.0789199999999</v>
      </c>
      <c r="AD71">
        <v>800.3006399999997</v>
      </c>
      <c r="AE71">
        <v>6387.7211199999983</v>
      </c>
    </row>
    <row r="72" spans="1:31" ht="13" x14ac:dyDescent="0.25">
      <c r="A72" s="35" t="s">
        <v>11</v>
      </c>
      <c r="B72" s="23">
        <f t="shared" ref="B72:C74" si="6">B68+B64+B60+B56+B52+B48</f>
        <v>3788</v>
      </c>
      <c r="C72" s="23">
        <f t="shared" si="6"/>
        <v>4621</v>
      </c>
      <c r="D72" s="10"/>
      <c r="E72" s="2"/>
      <c r="F72" s="2"/>
      <c r="H72" s="26"/>
      <c r="I72" s="25">
        <v>2010</v>
      </c>
      <c r="J72" s="25">
        <v>2030</v>
      </c>
      <c r="K72" s="24">
        <v>2050</v>
      </c>
      <c r="L72" s="25">
        <v>2010</v>
      </c>
      <c r="M72" s="25">
        <v>2030</v>
      </c>
      <c r="N72" s="24">
        <v>2050</v>
      </c>
      <c r="P72" t="s">
        <v>6</v>
      </c>
      <c r="Q72">
        <v>6264.6796800000002</v>
      </c>
      <c r="R72">
        <v>617.0992</v>
      </c>
      <c r="S72">
        <v>10975.36608</v>
      </c>
      <c r="T72">
        <v>7242.8569999999991</v>
      </c>
      <c r="U72">
        <v>3178.4093999999996</v>
      </c>
      <c r="W72">
        <v>4438.7413999999999</v>
      </c>
      <c r="X72">
        <v>747.88223999999991</v>
      </c>
      <c r="Y72">
        <v>891.52287066666656</v>
      </c>
      <c r="Z72">
        <v>1127.6879999999996</v>
      </c>
      <c r="AA72">
        <v>1973.0199999999998</v>
      </c>
      <c r="AB72">
        <v>5921.6476400000001</v>
      </c>
      <c r="AD72">
        <v>473.06351999999998</v>
      </c>
      <c r="AE72">
        <v>17699.447999999997</v>
      </c>
    </row>
    <row r="73" spans="1:31" ht="13" x14ac:dyDescent="0.3">
      <c r="A73" s="34" t="s">
        <v>7</v>
      </c>
      <c r="B73" s="23">
        <f t="shared" si="6"/>
        <v>8265</v>
      </c>
      <c r="C73" s="23">
        <f t="shared" si="6"/>
        <v>9287</v>
      </c>
      <c r="D73" s="10"/>
      <c r="E73" s="2"/>
      <c r="F73" s="2"/>
      <c r="H73" s="19" t="s">
        <v>17</v>
      </c>
      <c r="I73" s="18">
        <v>0.155431214389436</v>
      </c>
      <c r="J73" s="17">
        <v>0.26723724099209301</v>
      </c>
      <c r="K73" s="17">
        <v>0.36759750230175303</v>
      </c>
      <c r="L73" s="18">
        <v>1</v>
      </c>
      <c r="M73" s="17">
        <v>1.7193280129853763</v>
      </c>
      <c r="N73" s="17">
        <v>2.3650172440957076</v>
      </c>
      <c r="P73" s="37" t="s">
        <v>4</v>
      </c>
      <c r="Q73">
        <v>1469.1635999999999</v>
      </c>
      <c r="R73">
        <v>320.68344000000002</v>
      </c>
      <c r="S73">
        <v>5487.9155199999996</v>
      </c>
      <c r="T73">
        <v>5432.1589999999997</v>
      </c>
      <c r="U73">
        <v>2527.87626</v>
      </c>
      <c r="W73">
        <v>3960.3984</v>
      </c>
      <c r="X73">
        <v>180.6978</v>
      </c>
      <c r="Y73">
        <v>588.84285999999986</v>
      </c>
      <c r="Z73">
        <v>813.17543999999964</v>
      </c>
      <c r="AA73">
        <v>4934.2599999999993</v>
      </c>
      <c r="AB73">
        <v>2479.2655500000005</v>
      </c>
      <c r="AD73">
        <v>232.65396000000001</v>
      </c>
      <c r="AE73">
        <v>12999.302299999999</v>
      </c>
    </row>
    <row r="74" spans="1:31" ht="13" x14ac:dyDescent="0.3">
      <c r="A74" s="34" t="s">
        <v>5</v>
      </c>
      <c r="B74" s="23">
        <f t="shared" si="6"/>
        <v>1780</v>
      </c>
      <c r="C74" s="23">
        <f t="shared" si="6"/>
        <v>2115</v>
      </c>
      <c r="D74" s="10"/>
      <c r="E74" s="2"/>
      <c r="F74" s="2"/>
      <c r="H74" s="19" t="s">
        <v>15</v>
      </c>
      <c r="I74" s="18">
        <v>2.0587186701501101E-2</v>
      </c>
      <c r="J74" s="17">
        <v>2.8450317379873202E-2</v>
      </c>
      <c r="K74" s="17">
        <v>3.5061005186839203E-2</v>
      </c>
      <c r="L74" s="18">
        <v>1</v>
      </c>
      <c r="M74" s="17">
        <v>1.3819429430733616</v>
      </c>
      <c r="N74" s="17">
        <v>1.7030498481991594</v>
      </c>
      <c r="P74" s="2" t="s">
        <v>38</v>
      </c>
      <c r="Q74">
        <v>1756.4539633333334</v>
      </c>
      <c r="R74">
        <v>516.16111999999987</v>
      </c>
      <c r="S74">
        <v>8734.9750866666654</v>
      </c>
      <c r="T74">
        <v>5198.5088333333333</v>
      </c>
      <c r="U74">
        <v>1977.4249066666664</v>
      </c>
      <c r="W74">
        <v>7037.279856666667</v>
      </c>
      <c r="X74">
        <v>442.43076666666661</v>
      </c>
      <c r="Y74">
        <v>890.14786733333324</v>
      </c>
      <c r="Z74">
        <v>862.57860533333326</v>
      </c>
      <c r="AA74">
        <v>3149.8759999999997</v>
      </c>
      <c r="AB74">
        <v>4692.3425483333331</v>
      </c>
      <c r="AD74">
        <v>627.17056666666667</v>
      </c>
      <c r="AE74">
        <v>10539.916966666664</v>
      </c>
    </row>
    <row r="75" spans="1:31" ht="13" x14ac:dyDescent="0.3">
      <c r="A75" s="36" t="s">
        <v>107</v>
      </c>
      <c r="B75" s="23"/>
      <c r="C75" s="23"/>
      <c r="D75" s="10"/>
      <c r="E75" s="2"/>
      <c r="F75" s="2"/>
      <c r="H75" s="19" t="s">
        <v>13</v>
      </c>
      <c r="I75" s="18">
        <v>0.34598853563821397</v>
      </c>
      <c r="J75" s="17">
        <v>0.62419093163357398</v>
      </c>
      <c r="K75" s="17">
        <v>1.06062489639563</v>
      </c>
      <c r="L75" s="18">
        <v>1</v>
      </c>
      <c r="M75" s="17">
        <v>1.8040798099919266</v>
      </c>
      <c r="N75" s="17">
        <v>3.065491445949764</v>
      </c>
    </row>
    <row r="76" spans="1:31" ht="13.5" thickBot="1" x14ac:dyDescent="0.35">
      <c r="A76" s="35" t="s">
        <v>11</v>
      </c>
      <c r="B76" s="33">
        <f>EXP(LN(C72/B72)/10)</f>
        <v>1.0200761645709615</v>
      </c>
      <c r="C76" s="23"/>
      <c r="D76" s="10"/>
      <c r="E76" s="2"/>
      <c r="F76" s="2"/>
      <c r="H76" s="21" t="s">
        <v>11</v>
      </c>
      <c r="I76" s="18">
        <v>0.140767735882777</v>
      </c>
      <c r="J76" s="17">
        <v>0.24925059552282899</v>
      </c>
      <c r="K76" s="17">
        <v>0.37685196815261496</v>
      </c>
      <c r="L76" s="18">
        <v>1</v>
      </c>
      <c r="M76" s="17">
        <v>1.7706514490677756</v>
      </c>
      <c r="N76" s="17">
        <v>2.6771189135728863</v>
      </c>
      <c r="P76" s="20" t="s">
        <v>106</v>
      </c>
      <c r="Q76" t="s">
        <v>105</v>
      </c>
    </row>
    <row r="77" spans="1:31" ht="13.5" thickBot="1" x14ac:dyDescent="0.35">
      <c r="A77" s="34" t="s">
        <v>7</v>
      </c>
      <c r="B77" s="33">
        <f>EXP(LN(C73/B73)/10)</f>
        <v>1.0117268103267067</v>
      </c>
      <c r="C77" s="23"/>
      <c r="D77" s="10"/>
      <c r="E77" s="2"/>
      <c r="F77" s="2"/>
      <c r="H77" s="19" t="s">
        <v>9</v>
      </c>
      <c r="I77" s="18">
        <v>1.9047416646244399E-2</v>
      </c>
      <c r="J77" s="17">
        <v>2.82210758128595E-2</v>
      </c>
      <c r="K77" s="17">
        <v>3.6685828580977797E-2</v>
      </c>
      <c r="L77" s="18">
        <v>1</v>
      </c>
      <c r="M77" s="17">
        <v>1.4816222239998031</v>
      </c>
      <c r="N77" s="17">
        <v>1.9260264665975679</v>
      </c>
      <c r="P77" s="20" t="s">
        <v>59</v>
      </c>
      <c r="Q77">
        <v>10539.916966666664</v>
      </c>
    </row>
    <row r="78" spans="1:31" ht="13.5" thickBot="1" x14ac:dyDescent="0.35">
      <c r="A78" s="34" t="s">
        <v>5</v>
      </c>
      <c r="B78" s="33">
        <f>EXP(LN(C74/B74)/10)</f>
        <v>1.0173936834030901</v>
      </c>
      <c r="C78" s="23"/>
      <c r="D78" s="10"/>
      <c r="E78" s="2"/>
      <c r="F78" s="2"/>
      <c r="H78" s="19" t="s">
        <v>7</v>
      </c>
      <c r="I78" s="18">
        <v>1.13589530614936</v>
      </c>
      <c r="J78" s="17">
        <v>2.0881889866842198</v>
      </c>
      <c r="K78" s="17">
        <v>3.3320161728156101</v>
      </c>
      <c r="L78" s="18">
        <v>1</v>
      </c>
      <c r="M78" s="17">
        <v>1.8383639543005927</v>
      </c>
      <c r="N78" s="17">
        <v>2.9333831690096623</v>
      </c>
      <c r="P78" s="20" t="s">
        <v>70</v>
      </c>
      <c r="Q78">
        <v>9357.3158999999996</v>
      </c>
    </row>
    <row r="79" spans="1:31" ht="13.5" thickBot="1" x14ac:dyDescent="0.35">
      <c r="A79" s="2"/>
      <c r="B79" s="2"/>
      <c r="C79" s="23"/>
      <c r="D79" s="10"/>
      <c r="E79" s="2"/>
      <c r="F79" s="2"/>
      <c r="H79" s="19" t="s">
        <v>5</v>
      </c>
      <c r="I79" s="18">
        <v>4.3447088612852396E-2</v>
      </c>
      <c r="J79" s="17">
        <v>8.6293492674068009E-2</v>
      </c>
      <c r="K79" s="17">
        <v>0.14931120192849801</v>
      </c>
      <c r="L79" s="18">
        <v>1</v>
      </c>
      <c r="M79" s="17">
        <v>1.9861743428428691</v>
      </c>
      <c r="N79" s="17">
        <v>3.4366215711017558</v>
      </c>
      <c r="P79" s="20" t="s">
        <v>71</v>
      </c>
      <c r="Q79">
        <v>8734.9750866666654</v>
      </c>
    </row>
    <row r="80" spans="1:31" ht="13.5" thickBot="1" x14ac:dyDescent="0.35">
      <c r="A80" s="32" t="s">
        <v>104</v>
      </c>
      <c r="B80" s="141" t="s">
        <v>103</v>
      </c>
      <c r="C80" s="23"/>
      <c r="D80" s="10"/>
      <c r="E80" s="2"/>
      <c r="F80" s="2"/>
      <c r="H80" s="19" t="s">
        <v>3</v>
      </c>
      <c r="I80" s="18">
        <v>7.6516895977433705E-2</v>
      </c>
      <c r="J80" s="17">
        <v>9.1483049992357388E-2</v>
      </c>
      <c r="K80" s="17">
        <v>0.113231837481393</v>
      </c>
      <c r="L80" s="18">
        <v>1</v>
      </c>
      <c r="M80" s="17">
        <v>1.1955928010898076</v>
      </c>
      <c r="N80" s="17">
        <v>1.4798278999031433</v>
      </c>
      <c r="P80" s="22" t="s">
        <v>67</v>
      </c>
      <c r="Q80">
        <v>7037.279856666667</v>
      </c>
    </row>
    <row r="81" spans="1:31" ht="12" thickBot="1" x14ac:dyDescent="0.3">
      <c r="B81" t="s">
        <v>102</v>
      </c>
      <c r="C81" s="10"/>
      <c r="D81" s="10"/>
      <c r="E81" s="2"/>
      <c r="F81" s="2" t="s">
        <v>101</v>
      </c>
      <c r="P81" s="22" t="s">
        <v>62</v>
      </c>
      <c r="Q81">
        <v>4692.3425483333331</v>
      </c>
    </row>
    <row r="82" spans="1:31" ht="19" thickBot="1" x14ac:dyDescent="0.3">
      <c r="A82" s="31" t="s">
        <v>100</v>
      </c>
      <c r="B82" s="12" t="s">
        <v>98</v>
      </c>
      <c r="C82" s="12" t="s">
        <v>96</v>
      </c>
      <c r="D82" t="s">
        <v>99</v>
      </c>
      <c r="E82" s="12" t="s">
        <v>98</v>
      </c>
      <c r="F82" s="12" t="s">
        <v>97</v>
      </c>
      <c r="G82" s="12" t="s">
        <v>96</v>
      </c>
      <c r="H82" s="30" t="s">
        <v>95</v>
      </c>
      <c r="I82" s="29"/>
      <c r="J82" s="28"/>
      <c r="K82" s="28"/>
      <c r="L82" s="29"/>
      <c r="M82" s="28"/>
      <c r="N82" s="28"/>
      <c r="P82" s="22" t="s">
        <v>63</v>
      </c>
      <c r="Q82">
        <v>3149.8759999999997</v>
      </c>
    </row>
    <row r="83" spans="1:31" ht="13.5" thickBot="1" x14ac:dyDescent="0.3">
      <c r="A83" s="23" t="s">
        <v>94</v>
      </c>
      <c r="B83">
        <v>55600</v>
      </c>
      <c r="C83">
        <v>1869</v>
      </c>
      <c r="D83" t="s">
        <v>93</v>
      </c>
      <c r="E83">
        <v>55600</v>
      </c>
      <c r="F83" s="13">
        <f>E83*5.2*10^6/SUM($E$83:$E$101)</f>
        <v>45107.212317489124</v>
      </c>
      <c r="G83">
        <v>1869</v>
      </c>
      <c r="H83" s="27"/>
      <c r="I83" s="156" t="s">
        <v>92</v>
      </c>
      <c r="J83" s="156"/>
      <c r="K83" s="156"/>
      <c r="L83" s="156" t="s">
        <v>91</v>
      </c>
      <c r="M83" s="156"/>
      <c r="N83" s="156"/>
      <c r="P83" s="20" t="s">
        <v>69</v>
      </c>
      <c r="Q83">
        <v>1977.4249066666664</v>
      </c>
    </row>
    <row r="84" spans="1:31" ht="13.5" thickBot="1" x14ac:dyDescent="0.3">
      <c r="A84" s="23" t="s">
        <v>90</v>
      </c>
      <c r="B84">
        <v>209839</v>
      </c>
      <c r="C84">
        <v>64</v>
      </c>
      <c r="D84" t="s">
        <v>89</v>
      </c>
      <c r="E84">
        <v>91634</v>
      </c>
      <c r="F84" s="13">
        <f t="shared" ref="F84:F101" si="7">E84*5.2*10^6/SUM($E$83:$E$101)</f>
        <v>74340.904559366871</v>
      </c>
      <c r="G84">
        <v>2470</v>
      </c>
      <c r="H84" s="26"/>
      <c r="I84" s="25">
        <v>2010</v>
      </c>
      <c r="J84" s="25">
        <v>2030</v>
      </c>
      <c r="K84" s="24">
        <v>2050</v>
      </c>
      <c r="L84" s="25">
        <v>2010</v>
      </c>
      <c r="M84" s="25">
        <v>2030</v>
      </c>
      <c r="N84" s="24">
        <v>2050</v>
      </c>
      <c r="P84" s="20" t="s">
        <v>73</v>
      </c>
      <c r="Q84">
        <v>1756.4539633333334</v>
      </c>
    </row>
    <row r="85" spans="1:31" ht="13.5" thickBot="1" x14ac:dyDescent="0.35">
      <c r="A85" s="23" t="s">
        <v>88</v>
      </c>
      <c r="B85">
        <v>91634</v>
      </c>
      <c r="C85">
        <v>2470</v>
      </c>
      <c r="D85" t="s">
        <v>87</v>
      </c>
      <c r="E85">
        <v>127793</v>
      </c>
      <c r="F85" s="13">
        <f t="shared" si="7"/>
        <v>103676.00690087928</v>
      </c>
      <c r="G85">
        <v>2798</v>
      </c>
      <c r="H85" s="19" t="s">
        <v>17</v>
      </c>
      <c r="I85" s="18">
        <v>9.62493664436386</v>
      </c>
      <c r="J85" s="17">
        <v>10.6910583174759</v>
      </c>
      <c r="K85" s="17">
        <v>12.322704154873099</v>
      </c>
      <c r="L85" s="18">
        <v>1</v>
      </c>
      <c r="M85" s="17">
        <v>1.1107666172261337</v>
      </c>
      <c r="N85" s="17">
        <v>1.2802893785372591</v>
      </c>
      <c r="P85" s="22" t="s">
        <v>65</v>
      </c>
      <c r="Q85">
        <v>890.14786733333324</v>
      </c>
    </row>
    <row r="86" spans="1:31" ht="13.5" thickBot="1" x14ac:dyDescent="0.35">
      <c r="A86" s="1" t="s">
        <v>86</v>
      </c>
      <c r="B86">
        <v>127793</v>
      </c>
      <c r="C86">
        <v>2798</v>
      </c>
      <c r="D86" t="s">
        <v>85</v>
      </c>
      <c r="E86">
        <v>38281</v>
      </c>
      <c r="F86" s="13">
        <f t="shared" si="7"/>
        <v>31056.640192910094</v>
      </c>
      <c r="G86">
        <v>0</v>
      </c>
      <c r="H86" s="19" t="s">
        <v>15</v>
      </c>
      <c r="I86" s="18">
        <v>0.13546943627902999</v>
      </c>
      <c r="J86" s="17">
        <v>0.185204123757234</v>
      </c>
      <c r="K86" s="17">
        <v>0.21058732615859799</v>
      </c>
      <c r="L86" s="18">
        <v>1</v>
      </c>
      <c r="M86" s="17">
        <v>1.3671284744683232</v>
      </c>
      <c r="N86" s="17">
        <v>1.5545006456278867</v>
      </c>
      <c r="P86" s="22" t="s">
        <v>64</v>
      </c>
      <c r="Q86">
        <v>862.57860533333326</v>
      </c>
    </row>
    <row r="87" spans="1:31" ht="13.5" thickBot="1" x14ac:dyDescent="0.35">
      <c r="A87" s="1" t="s">
        <v>84</v>
      </c>
      <c r="B87">
        <v>152245</v>
      </c>
      <c r="C87">
        <v>22</v>
      </c>
      <c r="D87" t="s">
        <v>83</v>
      </c>
      <c r="E87">
        <v>15914</v>
      </c>
      <c r="F87" s="13">
        <f t="shared" si="7"/>
        <v>12910.722604685647</v>
      </c>
      <c r="G87">
        <v>0</v>
      </c>
      <c r="H87" s="19" t="s">
        <v>13</v>
      </c>
      <c r="I87" s="18">
        <v>5.1367500272650108</v>
      </c>
      <c r="J87" s="17">
        <v>7.6170873111206703</v>
      </c>
      <c r="K87" s="17">
        <v>10.8142139138773</v>
      </c>
      <c r="L87" s="18">
        <v>1</v>
      </c>
      <c r="M87" s="17">
        <v>1.4828612003096207</v>
      </c>
      <c r="N87" s="17">
        <v>2.1052638061959916</v>
      </c>
      <c r="P87" s="22" t="s">
        <v>60</v>
      </c>
      <c r="Q87">
        <v>627.17056666666667</v>
      </c>
    </row>
    <row r="88" spans="1:31" ht="13.5" thickBot="1" x14ac:dyDescent="0.35">
      <c r="A88" s="2" t="s">
        <v>82</v>
      </c>
      <c r="B88">
        <v>38281</v>
      </c>
      <c r="C88">
        <v>0</v>
      </c>
      <c r="D88" t="s">
        <v>81</v>
      </c>
      <c r="E88">
        <v>98749</v>
      </c>
      <c r="F88" s="13">
        <f t="shared" si="7"/>
        <v>80113.167430570757</v>
      </c>
      <c r="G88">
        <v>21388</v>
      </c>
      <c r="H88" s="21" t="s">
        <v>11</v>
      </c>
      <c r="I88" s="18">
        <v>8.6483771786262604</v>
      </c>
      <c r="J88" s="17">
        <v>12.7827449487921</v>
      </c>
      <c r="K88" s="17">
        <v>15.3133090587478</v>
      </c>
      <c r="L88" s="18">
        <v>1</v>
      </c>
      <c r="M88" s="17">
        <v>1.4780512788438025</v>
      </c>
      <c r="N88" s="17">
        <v>1.7706569385749455</v>
      </c>
      <c r="P88" s="20" t="s">
        <v>72</v>
      </c>
      <c r="Q88">
        <v>516.16111999999987</v>
      </c>
    </row>
    <row r="89" spans="1:31" ht="13" x14ac:dyDescent="0.3">
      <c r="A89" s="1" t="s">
        <v>80</v>
      </c>
      <c r="B89">
        <v>769801</v>
      </c>
      <c r="C89">
        <v>26605</v>
      </c>
      <c r="D89" t="s">
        <v>79</v>
      </c>
      <c r="E89">
        <v>533225</v>
      </c>
      <c r="F89" s="13">
        <f t="shared" si="7"/>
        <v>432595.20302145934</v>
      </c>
      <c r="G89">
        <v>34871</v>
      </c>
      <c r="H89" s="19" t="s">
        <v>9</v>
      </c>
      <c r="I89" s="18">
        <v>0.36535705782794403</v>
      </c>
      <c r="J89" s="17">
        <v>0.45857752406824998</v>
      </c>
      <c r="K89" s="17">
        <v>0.51113095022077004</v>
      </c>
      <c r="L89" s="18">
        <v>1</v>
      </c>
      <c r="M89" s="17">
        <v>1.2551489405856937</v>
      </c>
      <c r="N89" s="17">
        <v>1.398990218662957</v>
      </c>
      <c r="P89" s="2" t="s">
        <v>66</v>
      </c>
      <c r="Q89">
        <v>442.43076666666661</v>
      </c>
    </row>
    <row r="90" spans="1:31" ht="13" x14ac:dyDescent="0.3">
      <c r="A90" s="1" t="s">
        <v>78</v>
      </c>
      <c r="B90">
        <v>5508</v>
      </c>
      <c r="C90">
        <v>3333</v>
      </c>
      <c r="D90" t="s">
        <v>77</v>
      </c>
      <c r="E90">
        <v>23046</v>
      </c>
      <c r="F90" s="13">
        <f t="shared" si="7"/>
        <v>18696.777249439827</v>
      </c>
      <c r="G90">
        <v>0</v>
      </c>
      <c r="H90" s="19" t="s">
        <v>7</v>
      </c>
      <c r="I90" s="18">
        <v>8.5103822368009805</v>
      </c>
      <c r="J90" s="17">
        <v>13.7847510981975</v>
      </c>
      <c r="K90" s="17">
        <v>19.253768654602201</v>
      </c>
      <c r="L90" s="18">
        <v>1</v>
      </c>
      <c r="M90" s="17">
        <v>1.6197569879515934</v>
      </c>
      <c r="N90" s="17">
        <v>2.2623858857178214</v>
      </c>
    </row>
    <row r="91" spans="1:31" ht="14.5" x14ac:dyDescent="0.3">
      <c r="A91" s="1" t="s">
        <v>76</v>
      </c>
      <c r="B91">
        <v>18355</v>
      </c>
      <c r="C91">
        <v>64</v>
      </c>
      <c r="D91" t="s">
        <v>75</v>
      </c>
      <c r="E91">
        <v>87817</v>
      </c>
      <c r="F91" s="13">
        <f t="shared" si="7"/>
        <v>71244.245756923425</v>
      </c>
      <c r="G91">
        <v>4826</v>
      </c>
      <c r="H91" s="19" t="s">
        <v>5</v>
      </c>
      <c r="I91" s="18">
        <v>1.30822799150408</v>
      </c>
      <c r="J91" s="17">
        <v>2.1990279348893802</v>
      </c>
      <c r="K91" s="17">
        <v>3.2003748085631201</v>
      </c>
      <c r="L91" s="18">
        <v>1</v>
      </c>
      <c r="M91" s="17">
        <v>1.680921023835563</v>
      </c>
      <c r="N91" s="17">
        <v>2.4463433203899148</v>
      </c>
      <c r="P91" t="s">
        <v>74</v>
      </c>
      <c r="Q91" s="16" t="s">
        <v>73</v>
      </c>
      <c r="R91" s="16" t="s">
        <v>72</v>
      </c>
      <c r="S91" s="16" t="s">
        <v>71</v>
      </c>
      <c r="T91" s="16" t="s">
        <v>70</v>
      </c>
      <c r="U91" s="16" t="s">
        <v>69</v>
      </c>
      <c r="V91" s="16" t="s">
        <v>68</v>
      </c>
      <c r="W91" s="16" t="s">
        <v>67</v>
      </c>
      <c r="X91" s="16" t="s">
        <v>66</v>
      </c>
      <c r="Y91" s="16" t="s">
        <v>65</v>
      </c>
      <c r="Z91" s="16" t="s">
        <v>64</v>
      </c>
      <c r="AA91" s="16" t="s">
        <v>63</v>
      </c>
      <c r="AB91" s="16" t="s">
        <v>62</v>
      </c>
      <c r="AC91" s="16" t="s">
        <v>61</v>
      </c>
      <c r="AD91" s="16" t="s">
        <v>60</v>
      </c>
      <c r="AE91" s="16" t="s">
        <v>59</v>
      </c>
    </row>
    <row r="92" spans="1:31" ht="14.5" x14ac:dyDescent="0.3">
      <c r="A92" s="1" t="s">
        <v>58</v>
      </c>
      <c r="B92">
        <v>15914</v>
      </c>
      <c r="C92">
        <v>0</v>
      </c>
      <c r="D92" t="s">
        <v>57</v>
      </c>
      <c r="E92">
        <v>132255</v>
      </c>
      <c r="F92" s="13">
        <f t="shared" si="7"/>
        <v>107295.94181743749</v>
      </c>
      <c r="G92">
        <v>4500</v>
      </c>
      <c r="H92" s="19" t="s">
        <v>3</v>
      </c>
      <c r="I92" s="18">
        <v>0.25105646380471897</v>
      </c>
      <c r="J92" s="17">
        <v>0.29043882477211003</v>
      </c>
      <c r="K92" s="17">
        <v>0.29104598642658303</v>
      </c>
      <c r="L92" s="18">
        <v>1</v>
      </c>
      <c r="M92" s="17">
        <v>1.1568665485467211</v>
      </c>
      <c r="N92" s="17">
        <v>1.1592849752435348</v>
      </c>
      <c r="P92" s="16" t="s">
        <v>56</v>
      </c>
      <c r="Q92">
        <f>1</f>
        <v>1</v>
      </c>
      <c r="R92">
        <v>0.80399608539714462</v>
      </c>
      <c r="S92">
        <v>1</v>
      </c>
      <c r="T92">
        <v>1</v>
      </c>
      <c r="U92">
        <v>0.4611126511242904</v>
      </c>
      <c r="V92">
        <f>1</f>
        <v>1</v>
      </c>
      <c r="W92">
        <v>1</v>
      </c>
      <c r="X92">
        <v>0.85747377873824038</v>
      </c>
      <c r="Y92" s="15">
        <f>[1]Yields!K29/2</f>
        <v>0.25659999999999999</v>
      </c>
      <c r="Z92">
        <v>0.54254866431407278</v>
      </c>
      <c r="AA92">
        <v>1</v>
      </c>
      <c r="AB92">
        <v>0.56136637619610397</v>
      </c>
      <c r="AC92">
        <v>1</v>
      </c>
      <c r="AD92" s="15">
        <f>[1]Yields!R29/2.5</f>
        <v>0.31907999999999997</v>
      </c>
      <c r="AE92">
        <v>0.79787549057353213</v>
      </c>
    </row>
    <row r="93" spans="1:31" ht="14.5" x14ac:dyDescent="0.25">
      <c r="A93" s="2" t="s">
        <v>55</v>
      </c>
      <c r="B93">
        <v>4965</v>
      </c>
      <c r="C93">
        <v>127</v>
      </c>
      <c r="D93" t="s">
        <v>54</v>
      </c>
      <c r="E93">
        <v>154582</v>
      </c>
      <c r="F93" s="13">
        <f t="shared" si="7"/>
        <v>125409.40817377884</v>
      </c>
      <c r="G93">
        <v>26374</v>
      </c>
      <c r="P93" s="16" t="s">
        <v>53</v>
      </c>
      <c r="Q93">
        <f>1</f>
        <v>1</v>
      </c>
      <c r="R93">
        <v>0.86142758090447646</v>
      </c>
      <c r="S93">
        <v>1</v>
      </c>
      <c r="T93">
        <v>1</v>
      </c>
      <c r="U93">
        <f>U95</f>
        <v>0.84992272352173626</v>
      </c>
      <c r="V93">
        <f>1</f>
        <v>1</v>
      </c>
      <c r="W93">
        <v>1</v>
      </c>
      <c r="X93">
        <v>0.98788765628666619</v>
      </c>
      <c r="Y93" s="15">
        <f>[1]Yields!K30/2</f>
        <v>0.31609999999999999</v>
      </c>
      <c r="Z93">
        <v>0.97122527448303408</v>
      </c>
      <c r="AA93">
        <v>1</v>
      </c>
      <c r="AB93">
        <v>0.3664765578776617</v>
      </c>
      <c r="AC93">
        <v>1</v>
      </c>
      <c r="AD93" s="15">
        <f>[1]Yields!R30/2.5</f>
        <v>0.42287999999999998</v>
      </c>
      <c r="AE93">
        <v>0.82052210547596727</v>
      </c>
    </row>
    <row r="94" spans="1:31" ht="14.5" x14ac:dyDescent="0.25">
      <c r="A94" t="s">
        <v>52</v>
      </c>
      <c r="B94">
        <v>131940</v>
      </c>
      <c r="C94">
        <v>4</v>
      </c>
      <c r="D94" t="s">
        <v>51</v>
      </c>
      <c r="E94">
        <v>1826444</v>
      </c>
      <c r="F94" s="13">
        <f t="shared" si="7"/>
        <v>1481758.9441367644</v>
      </c>
      <c r="G94">
        <v>18961</v>
      </c>
      <c r="P94" s="16" t="s">
        <v>50</v>
      </c>
      <c r="Q94">
        <f>1</f>
        <v>1</v>
      </c>
      <c r="R94">
        <v>0.79206825057612606</v>
      </c>
      <c r="S94">
        <v>1</v>
      </c>
      <c r="T94">
        <v>1</v>
      </c>
      <c r="U94">
        <v>0.6884781462824977</v>
      </c>
      <c r="V94">
        <f>1</f>
        <v>1</v>
      </c>
      <c r="W94">
        <v>1</v>
      </c>
      <c r="X94">
        <v>0.96098949232656095</v>
      </c>
      <c r="Y94" s="15">
        <f>[1]Yields!K31/2</f>
        <v>0.27665000000000001</v>
      </c>
      <c r="Z94">
        <v>0.80968316354203584</v>
      </c>
      <c r="AA94">
        <v>1</v>
      </c>
      <c r="AB94">
        <v>0.43722434378778707</v>
      </c>
      <c r="AC94">
        <v>1</v>
      </c>
      <c r="AD94" s="15">
        <f>[1]Yields!R31/2.5</f>
        <v>0.23203999999999997</v>
      </c>
      <c r="AE94">
        <v>0.81280106829039134</v>
      </c>
    </row>
    <row r="95" spans="1:31" ht="14.5" x14ac:dyDescent="0.25">
      <c r="A95" s="1" t="s">
        <v>49</v>
      </c>
      <c r="B95">
        <v>98749</v>
      </c>
      <c r="C95">
        <v>21388</v>
      </c>
      <c r="D95" t="s">
        <v>48</v>
      </c>
      <c r="E95">
        <v>270191</v>
      </c>
      <c r="F95" s="13">
        <f t="shared" si="7"/>
        <v>219200.76984307021</v>
      </c>
      <c r="G95">
        <v>5352</v>
      </c>
      <c r="P95" s="16" t="s">
        <v>47</v>
      </c>
      <c r="Q95">
        <f>1</f>
        <v>1</v>
      </c>
      <c r="R95">
        <f>AVERAGE(R96:R97,R92:R94)</f>
        <v>0.81613615214644675</v>
      </c>
      <c r="S95">
        <v>1</v>
      </c>
      <c r="T95">
        <v>1</v>
      </c>
      <c r="U95">
        <v>0.84992272352173626</v>
      </c>
      <c r="V95">
        <f>1</f>
        <v>1</v>
      </c>
      <c r="W95">
        <v>1</v>
      </c>
      <c r="X95">
        <v>0.98286248890973893</v>
      </c>
      <c r="Y95" s="15">
        <f>[1]Yields!K32/2</f>
        <v>0.53434999999999999</v>
      </c>
      <c r="Z95">
        <v>1</v>
      </c>
      <c r="AA95">
        <v>1</v>
      </c>
      <c r="AB95">
        <v>1</v>
      </c>
      <c r="AC95">
        <v>1</v>
      </c>
      <c r="AD95" s="15">
        <f>[1]Yields!R32/2.5</f>
        <v>0.60404000000000002</v>
      </c>
      <c r="AE95" s="15">
        <v>0.69699999999999995</v>
      </c>
    </row>
    <row r="96" spans="1:31" ht="14.5" x14ac:dyDescent="0.25">
      <c r="A96" s="1" t="s">
        <v>46</v>
      </c>
      <c r="B96">
        <v>79465</v>
      </c>
      <c r="C96">
        <v>377</v>
      </c>
      <c r="D96" t="s">
        <v>45</v>
      </c>
      <c r="E96">
        <v>127356</v>
      </c>
      <c r="F96" s="13">
        <f t="shared" si="7"/>
        <v>103321.47719255659</v>
      </c>
      <c r="G96">
        <v>4</v>
      </c>
      <c r="P96" s="16" t="s">
        <v>44</v>
      </c>
      <c r="Q96">
        <f>1</f>
        <v>1</v>
      </c>
      <c r="R96">
        <v>0.85153213084276136</v>
      </c>
      <c r="S96">
        <v>1</v>
      </c>
      <c r="T96">
        <v>1</v>
      </c>
      <c r="U96">
        <v>0.59019898874510568</v>
      </c>
      <c r="V96">
        <f>1</f>
        <v>1</v>
      </c>
      <c r="W96">
        <v>1</v>
      </c>
      <c r="X96">
        <v>0.85734504482329588</v>
      </c>
      <c r="Y96" s="15">
        <f>[1]Yields!K33/2</f>
        <v>0</v>
      </c>
      <c r="Z96">
        <v>0.75087178292748624</v>
      </c>
      <c r="AA96">
        <v>1</v>
      </c>
      <c r="AB96">
        <v>0.41053626795960418</v>
      </c>
      <c r="AC96">
        <v>1</v>
      </c>
      <c r="AD96" s="15">
        <f>[1]Yields!R33/2.5</f>
        <v>0.53292000000000006</v>
      </c>
      <c r="AE96">
        <v>0.50880841683822842</v>
      </c>
    </row>
    <row r="97" spans="1:31" ht="14.5" x14ac:dyDescent="0.25">
      <c r="A97" s="1" t="s">
        <v>43</v>
      </c>
      <c r="B97">
        <v>1190616</v>
      </c>
      <c r="C97">
        <v>15420</v>
      </c>
      <c r="D97" s="2" t="s">
        <v>42</v>
      </c>
      <c r="E97">
        <v>849734</v>
      </c>
      <c r="F97" s="13">
        <f t="shared" si="7"/>
        <v>689372.87682354858</v>
      </c>
      <c r="G97">
        <v>29522</v>
      </c>
      <c r="P97" s="16" t="s">
        <v>41</v>
      </c>
      <c r="Q97">
        <f>1</f>
        <v>1</v>
      </c>
      <c r="R97">
        <v>0.77165671301172567</v>
      </c>
      <c r="S97">
        <v>1</v>
      </c>
      <c r="T97">
        <v>1</v>
      </c>
      <c r="U97">
        <v>0.47836023085184198</v>
      </c>
      <c r="V97">
        <f>1</f>
        <v>1</v>
      </c>
      <c r="W97">
        <v>1</v>
      </c>
      <c r="X97">
        <v>0.61915021516519952</v>
      </c>
      <c r="Y97" s="15">
        <f>[1]Yields!K34/2</f>
        <v>0.41389999999999999</v>
      </c>
      <c r="Z97">
        <v>0.62204446258721935</v>
      </c>
      <c r="AA97">
        <v>1</v>
      </c>
      <c r="AB97">
        <v>0.19856193130047839</v>
      </c>
      <c r="AC97">
        <v>1</v>
      </c>
      <c r="AD97" s="15">
        <f>[1]Yields!R34/2.5</f>
        <v>0.32932</v>
      </c>
      <c r="AE97">
        <v>0.54932641465248533</v>
      </c>
    </row>
    <row r="98" spans="1:31" ht="14.5" x14ac:dyDescent="0.25">
      <c r="A98" s="1" t="s">
        <v>40</v>
      </c>
      <c r="B98">
        <v>830952</v>
      </c>
      <c r="C98">
        <v>29458</v>
      </c>
      <c r="D98" s="1" t="s">
        <v>39</v>
      </c>
      <c r="E98">
        <v>4587</v>
      </c>
      <c r="F98" s="13">
        <f t="shared" si="7"/>
        <v>3721.3450161928527</v>
      </c>
      <c r="G98">
        <v>0</v>
      </c>
      <c r="P98" s="14" t="s">
        <v>38</v>
      </c>
      <c r="Q98" s="12">
        <f t="shared" ref="Q98:AE98" si="8">AVERAGE(Q92:Q97)</f>
        <v>1</v>
      </c>
      <c r="R98" s="12">
        <f t="shared" si="8"/>
        <v>0.81613615214644675</v>
      </c>
      <c r="S98" s="12">
        <f t="shared" si="8"/>
        <v>1</v>
      </c>
      <c r="T98" s="12">
        <f t="shared" si="8"/>
        <v>1</v>
      </c>
      <c r="U98" s="12">
        <f t="shared" si="8"/>
        <v>0.65299924400786802</v>
      </c>
      <c r="V98" s="12">
        <f t="shared" si="8"/>
        <v>1</v>
      </c>
      <c r="W98" s="12">
        <f t="shared" si="8"/>
        <v>1</v>
      </c>
      <c r="X98" s="12">
        <f t="shared" si="8"/>
        <v>0.87761811270828372</v>
      </c>
      <c r="Y98" s="12">
        <f t="shared" si="8"/>
        <v>0.29960000000000003</v>
      </c>
      <c r="Z98" s="12">
        <f t="shared" si="8"/>
        <v>0.78272889130897472</v>
      </c>
      <c r="AA98" s="12">
        <f t="shared" si="8"/>
        <v>1</v>
      </c>
      <c r="AB98" s="12">
        <f t="shared" si="8"/>
        <v>0.49569424618693919</v>
      </c>
      <c r="AC98" s="12">
        <f t="shared" si="8"/>
        <v>1</v>
      </c>
      <c r="AD98" s="12">
        <f t="shared" si="8"/>
        <v>0.40671333333333343</v>
      </c>
      <c r="AE98" s="12">
        <f t="shared" si="8"/>
        <v>0.69772224930510074</v>
      </c>
    </row>
    <row r="99" spans="1:31" x14ac:dyDescent="0.25">
      <c r="A99" s="1" t="s">
        <v>37</v>
      </c>
      <c r="B99">
        <v>56548</v>
      </c>
      <c r="C99">
        <v>1579</v>
      </c>
      <c r="D99" s="1" t="s">
        <v>36</v>
      </c>
      <c r="E99">
        <v>979640</v>
      </c>
      <c r="F99" s="13">
        <f t="shared" si="7"/>
        <v>794763.12004865194</v>
      </c>
      <c r="G99">
        <v>26669</v>
      </c>
    </row>
    <row r="100" spans="1:31" x14ac:dyDescent="0.25">
      <c r="A100" s="2" t="s">
        <v>35</v>
      </c>
      <c r="B100">
        <v>144013</v>
      </c>
      <c r="C100">
        <v>22914</v>
      </c>
      <c r="D100" s="1" t="s">
        <v>34</v>
      </c>
      <c r="E100">
        <v>319457</v>
      </c>
      <c r="F100" s="13">
        <f t="shared" si="7"/>
        <v>259169.32959187275</v>
      </c>
      <c r="G100">
        <v>24007</v>
      </c>
    </row>
    <row r="101" spans="1:31" x14ac:dyDescent="0.25">
      <c r="A101" t="s">
        <v>33</v>
      </c>
      <c r="B101">
        <v>533225</v>
      </c>
      <c r="C101">
        <v>34871</v>
      </c>
      <c r="D101" t="s">
        <v>32</v>
      </c>
      <c r="E101">
        <v>673313</v>
      </c>
      <c r="F101" s="13">
        <f t="shared" si="7"/>
        <v>546245.907322402</v>
      </c>
      <c r="G101">
        <v>1510</v>
      </c>
    </row>
    <row r="102" spans="1:31" x14ac:dyDescent="0.25">
      <c r="A102" s="1" t="s">
        <v>31</v>
      </c>
      <c r="B102">
        <v>23046</v>
      </c>
      <c r="C102">
        <v>0</v>
      </c>
      <c r="D102" s="10"/>
      <c r="E102" s="2"/>
      <c r="F102" s="2"/>
    </row>
    <row r="103" spans="1:31" x14ac:dyDescent="0.25">
      <c r="A103" s="1" t="s">
        <v>30</v>
      </c>
      <c r="B103">
        <v>175897</v>
      </c>
      <c r="C103">
        <v>1062</v>
      </c>
      <c r="D103" s="10"/>
      <c r="E103" s="2"/>
      <c r="F103" s="2"/>
    </row>
    <row r="104" spans="1:31" x14ac:dyDescent="0.25">
      <c r="A104" s="2" t="s">
        <v>29</v>
      </c>
      <c r="B104">
        <v>87817</v>
      </c>
      <c r="C104">
        <v>4826</v>
      </c>
      <c r="D104" s="10"/>
      <c r="E104" s="2"/>
      <c r="F104" s="2"/>
    </row>
    <row r="105" spans="1:31" x14ac:dyDescent="0.25">
      <c r="A105" t="s">
        <v>28</v>
      </c>
      <c r="B105">
        <v>666554</v>
      </c>
      <c r="C105">
        <v>24433</v>
      </c>
      <c r="D105" s="10"/>
      <c r="E105" s="2"/>
      <c r="F105" s="2"/>
    </row>
    <row r="106" spans="1:31" x14ac:dyDescent="0.25">
      <c r="A106" s="1" t="s">
        <v>27</v>
      </c>
      <c r="B106">
        <v>132255</v>
      </c>
      <c r="C106">
        <v>4500</v>
      </c>
      <c r="E106" s="2"/>
      <c r="F106" s="2"/>
    </row>
    <row r="107" spans="1:31" x14ac:dyDescent="0.25">
      <c r="A107" s="1" t="s">
        <v>26</v>
      </c>
      <c r="B107">
        <v>760270</v>
      </c>
      <c r="C107">
        <v>4981</v>
      </c>
      <c r="E107" s="2"/>
      <c r="F107" s="2"/>
    </row>
    <row r="108" spans="1:31" x14ac:dyDescent="0.25">
      <c r="A108" s="2"/>
      <c r="E108" s="2"/>
      <c r="F108" s="2"/>
    </row>
    <row r="109" spans="1:31" x14ac:dyDescent="0.25">
      <c r="A109" s="2"/>
      <c r="E109" s="2"/>
      <c r="F109" s="2"/>
    </row>
    <row r="110" spans="1:31" x14ac:dyDescent="0.25">
      <c r="A110" t="s">
        <v>99</v>
      </c>
      <c r="B110" s="12" t="s">
        <v>278</v>
      </c>
      <c r="C110" t="s">
        <v>99</v>
      </c>
      <c r="D110" s="12" t="s">
        <v>278</v>
      </c>
      <c r="E110" s="10"/>
      <c r="F110" s="2" t="s">
        <v>299</v>
      </c>
      <c r="G110" s="11"/>
    </row>
    <row r="111" spans="1:31" x14ac:dyDescent="0.25">
      <c r="A111" t="s">
        <v>93</v>
      </c>
      <c r="B111">
        <v>262</v>
      </c>
      <c r="C111" s="1" t="s">
        <v>279</v>
      </c>
      <c r="D111">
        <f>B119</f>
        <v>797</v>
      </c>
      <c r="E111" s="10">
        <f>D111/10^6</f>
        <v>7.9699999999999997E-4</v>
      </c>
      <c r="F111" s="2">
        <v>7.9699999999999997E-4</v>
      </c>
    </row>
    <row r="112" spans="1:31" x14ac:dyDescent="0.25">
      <c r="A112" t="s">
        <v>89</v>
      </c>
      <c r="B112">
        <v>5049</v>
      </c>
      <c r="C112" s="1" t="s">
        <v>280</v>
      </c>
      <c r="D112">
        <f>B129</f>
        <v>14608</v>
      </c>
      <c r="E112" s="10">
        <f t="shared" ref="E112:E129" si="9">D112/10^6</f>
        <v>1.4607999999999999E-2</v>
      </c>
      <c r="F112" s="2">
        <v>1.4607999999999999E-2</v>
      </c>
      <c r="G112" s="11"/>
    </row>
    <row r="113" spans="1:7" x14ac:dyDescent="0.25">
      <c r="A113" t="s">
        <v>87</v>
      </c>
      <c r="B113">
        <v>4040</v>
      </c>
      <c r="C113" t="s">
        <v>281</v>
      </c>
      <c r="D113">
        <f>B122</f>
        <v>113008</v>
      </c>
      <c r="E113" s="10">
        <f t="shared" si="9"/>
        <v>0.113008</v>
      </c>
      <c r="F113" s="2">
        <v>0.113008</v>
      </c>
      <c r="G113" s="9"/>
    </row>
    <row r="114" spans="1:7" x14ac:dyDescent="0.25">
      <c r="A114" t="s">
        <v>85</v>
      </c>
      <c r="B114">
        <v>126</v>
      </c>
      <c r="C114" t="s">
        <v>282</v>
      </c>
      <c r="D114">
        <f>B123</f>
        <v>1359</v>
      </c>
      <c r="E114" s="10">
        <f t="shared" si="9"/>
        <v>1.359E-3</v>
      </c>
      <c r="F114" s="2">
        <v>1.359E-3</v>
      </c>
      <c r="G114" s="11"/>
    </row>
    <row r="115" spans="1:7" x14ac:dyDescent="0.25">
      <c r="A115" t="s">
        <v>83</v>
      </c>
      <c r="B115">
        <v>33</v>
      </c>
      <c r="C115" t="s">
        <v>283</v>
      </c>
      <c r="D115">
        <f>B112</f>
        <v>5049</v>
      </c>
      <c r="E115" s="10">
        <f t="shared" si="9"/>
        <v>5.0489999999999997E-3</v>
      </c>
      <c r="F115" s="2">
        <v>5.0489999999999997E-3</v>
      </c>
      <c r="G115" s="2"/>
    </row>
    <row r="116" spans="1:7" x14ac:dyDescent="0.25">
      <c r="A116" t="s">
        <v>81</v>
      </c>
      <c r="B116">
        <v>854</v>
      </c>
      <c r="C116" t="s">
        <v>284</v>
      </c>
      <c r="D116">
        <f>B117</f>
        <v>8086</v>
      </c>
      <c r="E116" s="10">
        <f t="shared" si="9"/>
        <v>8.0859999999999994E-3</v>
      </c>
      <c r="F116" s="2">
        <v>8.0859999999999994E-3</v>
      </c>
      <c r="G116" s="11"/>
    </row>
    <row r="117" spans="1:7" x14ac:dyDescent="0.25">
      <c r="A117" t="s">
        <v>79</v>
      </c>
      <c r="B117">
        <v>8086</v>
      </c>
      <c r="C117" t="s">
        <v>285</v>
      </c>
      <c r="D117">
        <f>B125</f>
        <v>13610</v>
      </c>
      <c r="E117" s="10">
        <f t="shared" si="9"/>
        <v>1.3610000000000001E-2</v>
      </c>
      <c r="F117" s="2">
        <v>1.3610000000000001E-2</v>
      </c>
    </row>
    <row r="118" spans="1:7" x14ac:dyDescent="0.25">
      <c r="A118" t="s">
        <v>77</v>
      </c>
      <c r="B118">
        <v>124</v>
      </c>
      <c r="C118" t="s">
        <v>286</v>
      </c>
      <c r="D118">
        <f>B121</f>
        <v>5578</v>
      </c>
      <c r="E118" s="10">
        <f t="shared" si="9"/>
        <v>5.5779999999999996E-3</v>
      </c>
      <c r="F118" s="2">
        <v>5.5779999999999996E-3</v>
      </c>
      <c r="G118" s="2"/>
    </row>
    <row r="119" spans="1:7" x14ac:dyDescent="0.25">
      <c r="A119" t="s">
        <v>75</v>
      </c>
      <c r="B119">
        <v>797</v>
      </c>
      <c r="C119" t="s">
        <v>287</v>
      </c>
      <c r="D119">
        <f>B124</f>
        <v>824</v>
      </c>
      <c r="E119" s="10">
        <f t="shared" si="9"/>
        <v>8.2399999999999997E-4</v>
      </c>
      <c r="F119" s="2">
        <v>8.2399999999999997E-4</v>
      </c>
      <c r="G119" s="2"/>
    </row>
    <row r="120" spans="1:7" x14ac:dyDescent="0.25">
      <c r="A120" s="1" t="s">
        <v>57</v>
      </c>
      <c r="B120">
        <v>1371</v>
      </c>
      <c r="C120" t="s">
        <v>288</v>
      </c>
      <c r="D120">
        <f>B113</f>
        <v>4040</v>
      </c>
      <c r="E120" s="10">
        <f t="shared" si="9"/>
        <v>4.0400000000000002E-3</v>
      </c>
      <c r="F120" s="2">
        <v>4.0400000000000002E-3</v>
      </c>
      <c r="G120" s="11"/>
    </row>
    <row r="121" spans="1:7" x14ac:dyDescent="0.25">
      <c r="A121" s="1" t="s">
        <v>54</v>
      </c>
      <c r="B121">
        <v>5578</v>
      </c>
      <c r="C121" t="s">
        <v>289</v>
      </c>
      <c r="D121">
        <f>B118</f>
        <v>124</v>
      </c>
      <c r="E121" s="10">
        <f t="shared" si="9"/>
        <v>1.2400000000000001E-4</v>
      </c>
      <c r="F121" s="2">
        <v>1.2400000000000001E-4</v>
      </c>
      <c r="G121" s="11"/>
    </row>
    <row r="122" spans="1:7" x14ac:dyDescent="0.25">
      <c r="A122" s="1" t="s">
        <v>51</v>
      </c>
      <c r="B122">
        <v>113008</v>
      </c>
      <c r="C122" t="s">
        <v>290</v>
      </c>
      <c r="D122">
        <f>B114</f>
        <v>126</v>
      </c>
      <c r="E122" s="10">
        <f t="shared" si="9"/>
        <v>1.26E-4</v>
      </c>
      <c r="F122" s="2">
        <v>1.26E-4</v>
      </c>
    </row>
    <row r="123" spans="1:7" x14ac:dyDescent="0.25">
      <c r="A123" s="1" t="s">
        <v>48</v>
      </c>
      <c r="B123">
        <v>1359</v>
      </c>
      <c r="C123" t="s">
        <v>291</v>
      </c>
      <c r="D123">
        <f>B111</f>
        <v>262</v>
      </c>
      <c r="E123" s="10">
        <f t="shared" si="9"/>
        <v>2.6200000000000003E-4</v>
      </c>
      <c r="F123" s="2">
        <v>2.6200000000000003E-4</v>
      </c>
      <c r="G123" s="2"/>
    </row>
    <row r="124" spans="1:7" x14ac:dyDescent="0.25">
      <c r="A124" t="s">
        <v>45</v>
      </c>
      <c r="B124">
        <v>824</v>
      </c>
      <c r="C124" t="s">
        <v>292</v>
      </c>
      <c r="D124">
        <f>B115</f>
        <v>33</v>
      </c>
      <c r="E124" s="10">
        <f t="shared" si="9"/>
        <v>3.3000000000000003E-5</v>
      </c>
      <c r="F124" s="2">
        <v>3.3000000000000003E-5</v>
      </c>
    </row>
    <row r="125" spans="1:7" x14ac:dyDescent="0.25">
      <c r="A125" t="s">
        <v>42</v>
      </c>
      <c r="B125">
        <v>13610</v>
      </c>
      <c r="C125" t="s">
        <v>293</v>
      </c>
      <c r="D125">
        <v>0</v>
      </c>
      <c r="E125" s="10">
        <f t="shared" si="9"/>
        <v>0</v>
      </c>
      <c r="F125">
        <v>0</v>
      </c>
      <c r="G125" s="9"/>
    </row>
    <row r="126" spans="1:7" x14ac:dyDescent="0.25">
      <c r="A126" t="s">
        <v>298</v>
      </c>
      <c r="B126">
        <v>0</v>
      </c>
      <c r="C126" t="s">
        <v>294</v>
      </c>
      <c r="D126">
        <f>B127</f>
        <v>14916</v>
      </c>
      <c r="E126" s="10">
        <f t="shared" si="9"/>
        <v>1.4916E-2</v>
      </c>
      <c r="F126">
        <v>1.4916E-2</v>
      </c>
    </row>
    <row r="127" spans="1:7" x14ac:dyDescent="0.25">
      <c r="A127" t="s">
        <v>36</v>
      </c>
      <c r="B127">
        <v>14916</v>
      </c>
      <c r="C127" t="s">
        <v>295</v>
      </c>
      <c r="D127">
        <f>B120</f>
        <v>1371</v>
      </c>
      <c r="E127" s="10">
        <f t="shared" si="9"/>
        <v>1.371E-3</v>
      </c>
      <c r="F127">
        <v>1.371E-3</v>
      </c>
      <c r="G127" s="9"/>
    </row>
    <row r="128" spans="1:7" x14ac:dyDescent="0.25">
      <c r="A128" t="s">
        <v>298</v>
      </c>
      <c r="B128">
        <v>7371</v>
      </c>
      <c r="C128" t="s">
        <v>296</v>
      </c>
      <c r="D128">
        <f>B116</f>
        <v>854</v>
      </c>
      <c r="E128" s="10">
        <f t="shared" si="9"/>
        <v>8.5400000000000005E-4</v>
      </c>
      <c r="F128">
        <v>8.5400000000000005E-4</v>
      </c>
    </row>
    <row r="129" spans="1:6" x14ac:dyDescent="0.25">
      <c r="A129" t="s">
        <v>32</v>
      </c>
      <c r="B129">
        <v>14608</v>
      </c>
      <c r="C129" s="37" t="s">
        <v>297</v>
      </c>
      <c r="D129">
        <f>B128</f>
        <v>7371</v>
      </c>
      <c r="E129" s="10">
        <f t="shared" si="9"/>
        <v>7.3709999999999999E-3</v>
      </c>
      <c r="F129">
        <v>7.3709999999999999E-3</v>
      </c>
    </row>
  </sheetData>
  <autoFilter ref="P76:Q89">
    <sortState ref="P77:Q89">
      <sortCondition descending="1" ref="Q76:Q89"/>
    </sortState>
  </autoFilter>
  <mergeCells count="8">
    <mergeCell ref="I71:K71"/>
    <mergeCell ref="L71:N71"/>
    <mergeCell ref="I83:K83"/>
    <mergeCell ref="L83:N83"/>
    <mergeCell ref="I47:K47"/>
    <mergeCell ref="L47:N47"/>
    <mergeCell ref="I59:K59"/>
    <mergeCell ref="L59:N59"/>
  </mergeCells>
  <hyperlinks>
    <hyperlink ref="N33" r:id="rId1"/>
    <hyperlink ref="B80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zoomScale="70" zoomScaleNormal="70" workbookViewId="0">
      <selection activeCell="A4" sqref="A4"/>
    </sheetView>
  </sheetViews>
  <sheetFormatPr defaultRowHeight="11.5" x14ac:dyDescent="0.25"/>
  <cols>
    <col min="1" max="1" width="14.26953125" customWidth="1"/>
    <col min="2" max="2" width="10.36328125" bestFit="1" customWidth="1"/>
    <col min="3" max="9" width="10.453125" bestFit="1" customWidth="1"/>
    <col min="14" max="14" width="11.90625" bestFit="1" customWidth="1"/>
  </cols>
  <sheetData>
    <row r="1" spans="1:13" ht="19.5" x14ac:dyDescent="0.35">
      <c r="A1" s="101" t="s">
        <v>265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145"/>
      <c r="K4" s="145"/>
      <c r="L4" s="145"/>
      <c r="M4" s="146"/>
    </row>
    <row r="5" spans="1:13" x14ac:dyDescent="0.25">
      <c r="A5" s="2"/>
      <c r="B5" s="2"/>
      <c r="C5" s="2"/>
      <c r="D5" s="2"/>
      <c r="E5" s="92"/>
      <c r="F5" s="93"/>
      <c r="G5" s="2"/>
      <c r="H5" s="2"/>
      <c r="I5" s="2"/>
      <c r="J5" s="1"/>
      <c r="K5" s="1"/>
      <c r="L5" s="1"/>
      <c r="M5" s="147"/>
    </row>
    <row r="6" spans="1:13" x14ac:dyDescent="0.25">
      <c r="A6" s="2"/>
      <c r="B6" s="2"/>
      <c r="C6" s="2"/>
      <c r="D6" s="2"/>
      <c r="E6" s="92"/>
      <c r="F6" s="93"/>
      <c r="G6" s="2"/>
      <c r="H6" s="2"/>
      <c r="I6" s="2"/>
      <c r="J6" s="1"/>
      <c r="K6" s="1"/>
      <c r="L6" s="1"/>
      <c r="M6" s="147"/>
    </row>
    <row r="7" spans="1:13" x14ac:dyDescent="0.25">
      <c r="A7" s="2" t="s">
        <v>266</v>
      </c>
      <c r="B7" s="2"/>
      <c r="C7" s="2"/>
      <c r="D7" s="2"/>
      <c r="E7" s="92"/>
      <c r="F7" s="93"/>
      <c r="G7" s="2"/>
      <c r="H7" s="2"/>
      <c r="I7" s="2"/>
      <c r="J7" s="1"/>
      <c r="K7" s="1"/>
      <c r="L7" s="1"/>
      <c r="M7" s="147"/>
    </row>
    <row r="8" spans="1:13" x14ac:dyDescent="0.25">
      <c r="A8" s="2" t="s">
        <v>346</v>
      </c>
      <c r="B8" s="2"/>
      <c r="C8" s="2"/>
      <c r="D8" s="2"/>
      <c r="E8" s="92"/>
      <c r="F8" s="93"/>
      <c r="G8" s="2"/>
      <c r="H8" s="2"/>
      <c r="I8" s="2"/>
      <c r="J8" s="1"/>
      <c r="K8" s="1"/>
      <c r="L8" s="1"/>
      <c r="M8" s="147"/>
    </row>
    <row r="9" spans="1:13" x14ac:dyDescent="0.25">
      <c r="A9" s="95"/>
      <c r="B9" s="2"/>
      <c r="C9" s="2"/>
      <c r="D9" s="2"/>
      <c r="E9" s="92"/>
      <c r="F9" s="93"/>
      <c r="G9" s="2"/>
      <c r="H9" s="52"/>
      <c r="I9" s="52"/>
      <c r="J9" s="1"/>
      <c r="K9" s="1"/>
      <c r="L9" s="1"/>
      <c r="M9" s="147"/>
    </row>
    <row r="10" spans="1:13" x14ac:dyDescent="0.25">
      <c r="A10" s="2"/>
      <c r="B10" s="2"/>
      <c r="C10" s="2"/>
      <c r="D10" s="2"/>
      <c r="E10" s="92"/>
      <c r="F10" s="93"/>
      <c r="G10" s="2"/>
      <c r="H10" s="2"/>
      <c r="I10" s="2"/>
      <c r="J10" s="1"/>
      <c r="K10" s="1"/>
      <c r="L10" s="1"/>
      <c r="M10" s="147"/>
    </row>
    <row r="11" spans="1:13" x14ac:dyDescent="0.25">
      <c r="A11" s="2"/>
      <c r="B11" s="2"/>
      <c r="C11" s="2"/>
      <c r="D11" s="2"/>
      <c r="E11" s="92"/>
      <c r="F11" s="93"/>
      <c r="G11" s="2"/>
      <c r="H11" s="2"/>
      <c r="I11" s="2"/>
      <c r="J11" s="1"/>
      <c r="K11" s="1"/>
      <c r="L11" s="1"/>
      <c r="M11" s="147"/>
    </row>
    <row r="12" spans="1:13" x14ac:dyDescent="0.25">
      <c r="A12" s="2"/>
      <c r="B12" s="2"/>
      <c r="C12" s="2"/>
      <c r="D12" s="2"/>
      <c r="E12" s="92"/>
      <c r="F12" s="93"/>
      <c r="G12" s="2"/>
      <c r="H12" s="2"/>
      <c r="I12" s="2"/>
      <c r="J12" s="1"/>
      <c r="K12" s="1"/>
      <c r="L12" s="1"/>
      <c r="M12" s="147"/>
    </row>
    <row r="13" spans="1:13" x14ac:dyDescent="0.25">
      <c r="A13" s="2"/>
      <c r="B13" s="2"/>
      <c r="C13" s="2"/>
      <c r="D13" s="2"/>
      <c r="E13" s="92"/>
      <c r="F13" s="93"/>
      <c r="G13" s="2"/>
      <c r="H13" s="2"/>
      <c r="I13" s="2"/>
      <c r="J13" s="1"/>
      <c r="K13" s="1"/>
      <c r="L13" s="1"/>
      <c r="M13" s="147"/>
    </row>
    <row r="14" spans="1:13" x14ac:dyDescent="0.25">
      <c r="A14" s="2"/>
      <c r="B14" s="2"/>
      <c r="C14" s="2"/>
      <c r="D14" s="2"/>
      <c r="E14" s="92"/>
      <c r="F14" s="93"/>
      <c r="G14" s="2"/>
      <c r="H14" s="2"/>
      <c r="I14" s="2"/>
      <c r="J14" s="1"/>
      <c r="K14" s="1"/>
      <c r="L14" s="1"/>
      <c r="M14" s="147"/>
    </row>
    <row r="15" spans="1:13" x14ac:dyDescent="0.25">
      <c r="A15" s="124"/>
      <c r="B15" s="2"/>
      <c r="C15" s="2"/>
      <c r="D15" s="2"/>
      <c r="E15" s="92"/>
      <c r="F15" s="93"/>
      <c r="G15" s="2"/>
      <c r="H15" s="2"/>
      <c r="I15" s="2"/>
      <c r="J15" s="1"/>
      <c r="K15" s="1"/>
      <c r="L15" s="1"/>
      <c r="M15" s="147"/>
    </row>
    <row r="16" spans="1:13" x14ac:dyDescent="0.25">
      <c r="A16" s="88"/>
      <c r="B16" s="2"/>
      <c r="C16" s="2"/>
      <c r="D16" s="2"/>
      <c r="E16" s="92"/>
      <c r="F16" s="93"/>
      <c r="G16" s="2"/>
      <c r="H16" s="2"/>
      <c r="I16" s="2"/>
      <c r="J16" s="1"/>
      <c r="K16" s="1"/>
      <c r="L16" s="1"/>
      <c r="M16" s="147"/>
    </row>
    <row r="17" spans="1:13" x14ac:dyDescent="0.25">
      <c r="A17" s="125"/>
      <c r="B17" s="2"/>
      <c r="C17" s="2"/>
      <c r="D17" s="2"/>
      <c r="E17" s="92"/>
      <c r="F17" s="93"/>
      <c r="G17" s="2"/>
      <c r="H17" s="2"/>
      <c r="I17" s="2"/>
      <c r="J17" s="1"/>
      <c r="K17" s="1"/>
      <c r="L17" s="1"/>
      <c r="M17" s="147"/>
    </row>
    <row r="18" spans="1:13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37"/>
      <c r="K18" s="37"/>
      <c r="L18" s="37"/>
      <c r="M18" s="148"/>
    </row>
    <row r="19" spans="1:13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75"/>
      <c r="B20" s="2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1:13" x14ac:dyDescent="0.25">
      <c r="A21" s="75" t="s">
        <v>314</v>
      </c>
      <c r="B21" s="72" t="s">
        <v>183</v>
      </c>
      <c r="C21" s="70"/>
      <c r="D21" s="70"/>
      <c r="E21" s="70"/>
      <c r="F21" s="70"/>
      <c r="G21" s="23"/>
      <c r="I21" s="2"/>
      <c r="J21" s="2"/>
      <c r="K21" s="2"/>
      <c r="L21" s="2"/>
      <c r="M21" s="2"/>
    </row>
    <row r="22" spans="1:13" ht="12" thickBot="1" x14ac:dyDescent="0.3">
      <c r="A22" s="46" t="s">
        <v>194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300</v>
      </c>
      <c r="L22" s="22" t="s">
        <v>113</v>
      </c>
      <c r="M22" s="22" t="s">
        <v>112</v>
      </c>
    </row>
    <row r="23" spans="1:13" ht="14.5" x14ac:dyDescent="0.25">
      <c r="A23" t="s">
        <v>17</v>
      </c>
      <c r="B23" s="84">
        <v>11.512543142857139</v>
      </c>
      <c r="C23" s="138">
        <v>0.12241985714285715</v>
      </c>
      <c r="D23" s="84">
        <v>3.5696275714285717</v>
      </c>
      <c r="E23" s="84">
        <v>1.343318</v>
      </c>
      <c r="F23" s="138">
        <v>0.21188499999999996</v>
      </c>
      <c r="G23" s="84">
        <v>0.30406285714285719</v>
      </c>
      <c r="H23" s="84">
        <v>3.5516571428571418E-2</v>
      </c>
      <c r="I23" s="84">
        <v>2.091040428571429</v>
      </c>
      <c r="J23" s="84">
        <v>1.2999999999999999E-2</v>
      </c>
      <c r="K23" s="84">
        <v>3.0027142857142861E-3</v>
      </c>
      <c r="L23" s="84">
        <v>0.52503771428571433</v>
      </c>
      <c r="M23" s="84">
        <v>0.34565885714285721</v>
      </c>
    </row>
    <row r="24" spans="1:13" x14ac:dyDescent="0.25">
      <c r="A24" t="s">
        <v>15</v>
      </c>
      <c r="B24" s="84">
        <v>0</v>
      </c>
      <c r="C24" s="139">
        <v>3.1181857142857147E-2</v>
      </c>
      <c r="D24" s="84">
        <v>0</v>
      </c>
      <c r="E24" s="84">
        <v>1.449128571428571E-2</v>
      </c>
      <c r="F24" s="137">
        <v>5.4951428571428573E-3</v>
      </c>
      <c r="G24" s="84">
        <v>0</v>
      </c>
      <c r="H24" s="84">
        <v>9.9000000000000005E-2</v>
      </c>
      <c r="I24" s="84">
        <v>3.4000000000000002E-2</v>
      </c>
      <c r="J24" s="84">
        <v>0</v>
      </c>
      <c r="K24" s="84">
        <v>0</v>
      </c>
      <c r="L24" s="84">
        <v>0</v>
      </c>
      <c r="M24" s="84">
        <v>4.0631E-2</v>
      </c>
    </row>
    <row r="25" spans="1:13" x14ac:dyDescent="0.25">
      <c r="A25" t="s">
        <v>13</v>
      </c>
      <c r="B25" s="84">
        <v>4.6949127142857146</v>
      </c>
      <c r="C25" s="139">
        <v>0.21990900000000002</v>
      </c>
      <c r="D25" s="84">
        <v>0.4077175714285714</v>
      </c>
      <c r="E25" s="84">
        <v>3.357287714285714</v>
      </c>
      <c r="F25" s="137">
        <v>0.4516654285714285</v>
      </c>
      <c r="G25" s="84">
        <v>0.6</v>
      </c>
      <c r="H25" s="84">
        <v>0.11302214285714289</v>
      </c>
      <c r="I25" s="84">
        <v>2.7297341428571431</v>
      </c>
      <c r="J25" s="84">
        <v>5.2999999999999999E-2</v>
      </c>
      <c r="K25" s="84">
        <v>0.12643414285714291</v>
      </c>
      <c r="L25" s="84">
        <v>2.769278571428571</v>
      </c>
      <c r="M25" s="84">
        <v>0.21554571428571428</v>
      </c>
    </row>
    <row r="26" spans="1:13" x14ac:dyDescent="0.25">
      <c r="A26" t="s">
        <v>11</v>
      </c>
      <c r="B26" s="84">
        <v>8.2583155714285716</v>
      </c>
      <c r="C26" s="139">
        <v>0.43119185714285718</v>
      </c>
      <c r="D26" s="84">
        <v>0.55192099999999988</v>
      </c>
      <c r="E26" s="84">
        <v>1.6954828571428571</v>
      </c>
      <c r="F26" s="137">
        <v>0.24547528571428573</v>
      </c>
      <c r="G26" s="84">
        <v>0.46300000000000002</v>
      </c>
      <c r="H26" s="84">
        <v>0.17789314285714289</v>
      </c>
      <c r="I26" s="84">
        <v>1.0734072857142858</v>
      </c>
      <c r="J26" s="84">
        <v>2.9000000000000001E-2</v>
      </c>
      <c r="K26" s="84">
        <v>7.7037000000000008E-2</v>
      </c>
      <c r="L26" s="84">
        <v>3.1631627142857144</v>
      </c>
      <c r="M26" s="84">
        <v>0.20442299999999999</v>
      </c>
    </row>
    <row r="27" spans="1:13" x14ac:dyDescent="0.25">
      <c r="A27" t="s">
        <v>9</v>
      </c>
      <c r="B27" s="84">
        <v>0</v>
      </c>
      <c r="C27" s="139">
        <v>6.2693428571428567E-2</v>
      </c>
      <c r="D27" s="84">
        <v>0</v>
      </c>
      <c r="E27" s="84">
        <v>5.9134285714285716E-2</v>
      </c>
      <c r="F27" s="137">
        <v>3.0257142857142858E-4</v>
      </c>
      <c r="G27" s="84">
        <v>0.02</v>
      </c>
      <c r="H27" s="84">
        <v>0</v>
      </c>
      <c r="I27" s="84">
        <v>4.9000000000000002E-2</v>
      </c>
      <c r="J27" s="84">
        <v>0</v>
      </c>
      <c r="K27" s="84">
        <v>0</v>
      </c>
      <c r="L27" s="84">
        <v>0</v>
      </c>
      <c r="M27" s="84">
        <v>1.9689428571428573E-2</v>
      </c>
    </row>
    <row r="28" spans="1:13" x14ac:dyDescent="0.25">
      <c r="A28" t="s">
        <v>7</v>
      </c>
      <c r="B28" s="84">
        <v>5.1237971428571427</v>
      </c>
      <c r="C28" s="139">
        <v>3.7667408571428567</v>
      </c>
      <c r="D28" s="84">
        <v>3.4774385714285714</v>
      </c>
      <c r="E28" s="84">
        <v>5.4357177142857136</v>
      </c>
      <c r="F28" s="137">
        <v>2.7306328571428575</v>
      </c>
      <c r="G28" s="84">
        <v>1.804</v>
      </c>
      <c r="H28" s="84">
        <v>2.4971737142857142</v>
      </c>
      <c r="I28" s="84">
        <v>4.8589912857142865</v>
      </c>
      <c r="J28" s="84">
        <v>8.7999999999999995E-2</v>
      </c>
      <c r="K28" s="84">
        <v>9.6445142857142854E-2</v>
      </c>
      <c r="L28" s="84">
        <v>2.882142142857143</v>
      </c>
      <c r="M28" s="84">
        <v>1.7268652857142861</v>
      </c>
    </row>
    <row r="29" spans="1:13" x14ac:dyDescent="0.25">
      <c r="A29" t="s">
        <v>5</v>
      </c>
      <c r="B29" s="84">
        <v>1.0555645714285711</v>
      </c>
      <c r="C29" s="139">
        <v>0.315749</v>
      </c>
      <c r="D29" s="84">
        <v>6.832857142857144E-4</v>
      </c>
      <c r="E29" s="84">
        <v>2.8633277142857141</v>
      </c>
      <c r="F29" s="137">
        <v>0.36251814285714279</v>
      </c>
      <c r="G29" s="84">
        <v>0.03</v>
      </c>
      <c r="H29" s="84">
        <v>4.1851857142857142E-2</v>
      </c>
      <c r="I29" s="84">
        <v>0.20869857142857143</v>
      </c>
      <c r="J29" s="84">
        <v>7.0000000000000001E-3</v>
      </c>
      <c r="K29" s="84">
        <v>0.10764971428571429</v>
      </c>
      <c r="L29" s="84">
        <v>3.9054960000000003</v>
      </c>
      <c r="M29" s="84">
        <v>0.35576942857142857</v>
      </c>
    </row>
    <row r="30" spans="1:13" x14ac:dyDescent="0.25">
      <c r="A30" t="s">
        <v>3</v>
      </c>
      <c r="B30" s="84">
        <v>0.2286248571428571</v>
      </c>
      <c r="C30" s="139">
        <v>0.19619471428571428</v>
      </c>
      <c r="D30" s="84">
        <v>0.10082200000000006</v>
      </c>
      <c r="E30" s="84">
        <v>0.95839514285714278</v>
      </c>
      <c r="F30" s="137">
        <v>0.16189128571428571</v>
      </c>
      <c r="G30" s="84">
        <v>0.19600000000000001</v>
      </c>
      <c r="H30" s="84">
        <v>7.0014285714285708E-4</v>
      </c>
      <c r="I30" s="84">
        <v>6.0731142857142859E-2</v>
      </c>
      <c r="J30" s="84">
        <v>2.5000000000000001E-2</v>
      </c>
      <c r="K30" s="84">
        <v>0.14977028571428572</v>
      </c>
      <c r="L30" s="84">
        <v>3.4751508571428573</v>
      </c>
      <c r="M30" s="84">
        <v>0.1777337142857143</v>
      </c>
    </row>
    <row r="31" spans="1:13" x14ac:dyDescent="0.25">
      <c r="A31" s="2" t="s">
        <v>1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</row>
    <row r="32" spans="1:13" x14ac:dyDescent="0.25">
      <c r="A32" s="2" t="s">
        <v>193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43">
        <v>0</v>
      </c>
      <c r="L32" s="2">
        <v>0</v>
      </c>
      <c r="M32" s="2">
        <v>0</v>
      </c>
    </row>
    <row r="35" spans="2:14" x14ac:dyDescent="0.25">
      <c r="B35" s="13"/>
      <c r="C35" s="13"/>
      <c r="D35" s="13"/>
      <c r="E35" s="13"/>
      <c r="F35" s="13"/>
      <c r="G35" s="13"/>
      <c r="H35" s="13"/>
      <c r="I35" s="13"/>
    </row>
    <row r="36" spans="2:14" ht="14.5" x14ac:dyDescent="0.25">
      <c r="B36" s="2"/>
      <c r="C36" s="2"/>
      <c r="D36" s="2"/>
      <c r="E36" s="2"/>
      <c r="F36" s="2"/>
      <c r="G36" s="2"/>
      <c r="H36" s="2"/>
      <c r="I36" s="2"/>
      <c r="J36" s="130"/>
      <c r="K36" s="130"/>
      <c r="L36" s="2"/>
      <c r="M36" s="2"/>
      <c r="N36" s="2"/>
    </row>
    <row r="37" spans="2:14" ht="14.5" x14ac:dyDescent="0.25">
      <c r="B37" s="136"/>
      <c r="C37" s="137"/>
      <c r="D37" s="137"/>
      <c r="E37" s="137"/>
      <c r="F37" s="137"/>
      <c r="G37" s="137"/>
      <c r="H37" s="137"/>
      <c r="I37" s="137"/>
      <c r="J37" s="43"/>
      <c r="K37" s="43"/>
      <c r="L37" s="2"/>
      <c r="M37" s="2"/>
      <c r="N37" s="2"/>
    </row>
    <row r="38" spans="2:14" ht="14.5" x14ac:dyDescent="0.25">
      <c r="B38" s="130"/>
      <c r="C38" s="43"/>
      <c r="D38" s="43"/>
      <c r="E38" s="43"/>
      <c r="F38" s="43"/>
      <c r="G38" s="43"/>
      <c r="H38" s="43"/>
      <c r="I38" s="43"/>
      <c r="J38" s="43"/>
      <c r="K38" s="43"/>
      <c r="L38" s="2"/>
      <c r="M38" s="2"/>
      <c r="N38" s="2"/>
    </row>
    <row r="39" spans="2:14" ht="14.5" x14ac:dyDescent="0.35">
      <c r="B39" s="130"/>
      <c r="C39" s="43"/>
      <c r="D39" s="43"/>
      <c r="E39" s="144"/>
      <c r="F39" s="144"/>
      <c r="G39" s="144"/>
      <c r="H39" s="144"/>
      <c r="I39" s="144"/>
      <c r="J39" s="144"/>
      <c r="K39" s="144"/>
      <c r="L39" s="144"/>
      <c r="M39" s="2"/>
      <c r="N39" s="2"/>
    </row>
    <row r="40" spans="2:14" ht="14.5" x14ac:dyDescent="0.35">
      <c r="B40" s="130"/>
      <c r="C40" s="43"/>
      <c r="D40" s="43"/>
      <c r="E40" s="144"/>
      <c r="F40" s="43"/>
      <c r="G40" s="2"/>
      <c r="H40" s="43"/>
      <c r="I40" s="43"/>
      <c r="J40" s="43"/>
      <c r="K40" s="43"/>
      <c r="L40" s="2"/>
      <c r="M40" s="2"/>
      <c r="N40" s="2"/>
    </row>
    <row r="41" spans="2:14" ht="14.5" x14ac:dyDescent="0.35">
      <c r="B41" s="130"/>
      <c r="C41" s="43"/>
      <c r="D41" s="43"/>
      <c r="E41" s="144"/>
      <c r="F41" s="43"/>
      <c r="G41" s="2"/>
      <c r="H41" s="43"/>
      <c r="I41" s="43"/>
      <c r="J41" s="43"/>
      <c r="K41" s="43"/>
      <c r="L41" s="2"/>
      <c r="M41" s="2"/>
      <c r="N41" s="2"/>
    </row>
    <row r="42" spans="2:14" ht="14.5" x14ac:dyDescent="0.35">
      <c r="B42" s="130"/>
      <c r="C42" s="43"/>
      <c r="D42" s="43"/>
      <c r="E42" s="144"/>
      <c r="F42" s="43"/>
      <c r="G42" s="2"/>
      <c r="H42" s="43"/>
      <c r="I42" s="43"/>
      <c r="J42" s="43"/>
      <c r="K42" s="43"/>
      <c r="L42" s="2"/>
      <c r="M42" s="2"/>
      <c r="N42" s="2"/>
    </row>
    <row r="43" spans="2:14" ht="14.5" x14ac:dyDescent="0.35">
      <c r="B43" s="130"/>
      <c r="C43" s="43"/>
      <c r="D43" s="43"/>
      <c r="E43" s="144"/>
      <c r="F43" s="43"/>
      <c r="G43" s="2"/>
      <c r="H43" s="43"/>
      <c r="I43" s="43"/>
      <c r="J43" s="43"/>
      <c r="K43" s="43"/>
      <c r="L43" s="2"/>
      <c r="M43" s="2"/>
      <c r="N43" s="2"/>
    </row>
    <row r="44" spans="2:14" ht="14.5" x14ac:dyDescent="0.35">
      <c r="B44" s="130"/>
      <c r="C44" s="43"/>
      <c r="D44" s="43"/>
      <c r="E44" s="144"/>
      <c r="F44" s="43"/>
      <c r="G44" s="2"/>
      <c r="H44" s="43"/>
      <c r="I44" s="43"/>
      <c r="J44" s="43"/>
      <c r="K44" s="43"/>
      <c r="L44" s="2"/>
      <c r="M44" s="2"/>
      <c r="N44" s="2"/>
    </row>
    <row r="45" spans="2:14" ht="14.5" x14ac:dyDescent="0.35">
      <c r="B45" s="130"/>
      <c r="C45" s="43"/>
      <c r="D45" s="43"/>
      <c r="E45" s="144"/>
      <c r="F45" s="43"/>
      <c r="G45" s="130"/>
      <c r="H45" s="43"/>
      <c r="I45" s="43"/>
      <c r="J45" s="43"/>
      <c r="K45" s="43"/>
      <c r="L45" s="2"/>
      <c r="M45" s="2"/>
      <c r="N45" s="2"/>
    </row>
    <row r="46" spans="2:14" ht="14.5" x14ac:dyDescent="0.35">
      <c r="B46" s="130"/>
      <c r="C46" s="43"/>
      <c r="D46" s="43"/>
      <c r="E46" s="144"/>
      <c r="F46" s="43"/>
      <c r="G46" s="130"/>
      <c r="H46" s="43"/>
      <c r="I46" s="43"/>
      <c r="J46" s="43"/>
      <c r="K46" s="43"/>
      <c r="L46" s="2"/>
      <c r="M46" s="2"/>
      <c r="N46" s="2"/>
    </row>
    <row r="47" spans="2:14" ht="14.5" x14ac:dyDescent="0.35">
      <c r="B47" s="130"/>
      <c r="C47" s="43"/>
      <c r="D47" s="43"/>
      <c r="E47" s="144"/>
      <c r="F47" s="43"/>
      <c r="G47" s="2"/>
      <c r="H47" s="43"/>
      <c r="I47" s="43"/>
      <c r="J47" s="43"/>
      <c r="K47" s="43"/>
      <c r="L47" s="2"/>
      <c r="M47" s="2"/>
      <c r="N47" s="2"/>
    </row>
    <row r="48" spans="2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ht="14.5" x14ac:dyDescent="0.25">
      <c r="B49" s="2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0" spans="2:14" ht="14.5" x14ac:dyDescent="0.25">
      <c r="B50" s="130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</row>
    <row r="51" spans="2:14" ht="14.5" x14ac:dyDescent="0.25">
      <c r="B51" s="130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 ht="14.5" x14ac:dyDescent="0.25">
      <c r="B52" s="130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2:14" ht="14.5" x14ac:dyDescent="0.25">
      <c r="B53" s="130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4" spans="2:14" ht="14.5" x14ac:dyDescent="0.25">
      <c r="B54" s="130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2:14" ht="14.5" x14ac:dyDescent="0.25">
      <c r="B55" s="130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ht="14.5" x14ac:dyDescent="0.25">
      <c r="B56" s="130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2:14" ht="14.5" x14ac:dyDescent="0.25">
      <c r="B57" s="130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2:14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5">
      <c r="B59" s="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2:14" x14ac:dyDescent="0.25">
      <c r="B60" s="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2:14" x14ac:dyDescent="0.25">
      <c r="B61" s="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x14ac:dyDescent="0.25">
      <c r="B62" s="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2:14" x14ac:dyDescent="0.25">
      <c r="B63" s="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2:14" x14ac:dyDescent="0.25">
      <c r="B64" s="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x14ac:dyDescent="0.25">
      <c r="B65" s="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2:14" x14ac:dyDescent="0.25">
      <c r="B66" s="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showGridLines="0" topLeftCell="A7" workbookViewId="0">
      <selection activeCell="I21" sqref="I21"/>
    </sheetView>
  </sheetViews>
  <sheetFormatPr defaultRowHeight="11.5" x14ac:dyDescent="0.25"/>
  <cols>
    <col min="1" max="1" width="11.6328125" customWidth="1"/>
    <col min="2" max="2" width="10.7265625" customWidth="1"/>
  </cols>
  <sheetData>
    <row r="1" spans="1:12" ht="19.5" x14ac:dyDescent="0.35">
      <c r="A1" s="101" t="s">
        <v>267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</row>
    <row r="4" spans="1:12" x14ac:dyDescent="0.25">
      <c r="A4" s="100" t="s">
        <v>176</v>
      </c>
      <c r="B4" s="98"/>
      <c r="C4" s="98"/>
      <c r="D4" s="98"/>
      <c r="E4" s="97"/>
      <c r="F4" s="99" t="s">
        <v>175</v>
      </c>
      <c r="G4" s="98"/>
      <c r="H4" s="98"/>
      <c r="I4" s="146"/>
    </row>
    <row r="5" spans="1:12" x14ac:dyDescent="0.25">
      <c r="A5" s="2"/>
      <c r="B5" s="2"/>
      <c r="C5" s="2"/>
      <c r="D5" s="2"/>
      <c r="E5" s="92"/>
      <c r="F5" s="93"/>
      <c r="G5" s="2"/>
      <c r="H5" s="2"/>
      <c r="I5" s="147"/>
    </row>
    <row r="6" spans="1:12" x14ac:dyDescent="0.25">
      <c r="A6" s="2"/>
      <c r="B6" s="2"/>
      <c r="C6" s="2"/>
      <c r="D6" s="2"/>
      <c r="E6" s="92"/>
      <c r="F6" s="93"/>
      <c r="G6" s="2"/>
      <c r="H6" s="2"/>
      <c r="I6" s="147"/>
    </row>
    <row r="7" spans="1:12" x14ac:dyDescent="0.25">
      <c r="A7" s="2" t="s">
        <v>266</v>
      </c>
      <c r="B7" s="2"/>
      <c r="C7" s="2"/>
      <c r="D7" s="2"/>
      <c r="E7" s="92"/>
      <c r="F7" s="93"/>
      <c r="G7" s="2"/>
      <c r="H7" s="2"/>
      <c r="I7" s="147"/>
    </row>
    <row r="8" spans="1:12" x14ac:dyDescent="0.25">
      <c r="A8" s="2" t="s">
        <v>346</v>
      </c>
      <c r="B8" s="2"/>
      <c r="C8" s="2"/>
      <c r="D8" s="2"/>
      <c r="E8" s="92"/>
      <c r="F8" s="93"/>
      <c r="G8" s="2"/>
      <c r="H8" s="2"/>
      <c r="I8" s="147"/>
    </row>
    <row r="9" spans="1:12" x14ac:dyDescent="0.25">
      <c r="A9" s="95"/>
      <c r="B9" s="2"/>
      <c r="C9" s="2"/>
      <c r="D9" s="2"/>
      <c r="E9" s="92"/>
      <c r="F9" s="93"/>
      <c r="G9" s="52"/>
      <c r="H9" s="52"/>
      <c r="I9" s="147"/>
    </row>
    <row r="10" spans="1:12" x14ac:dyDescent="0.25">
      <c r="A10" s="2"/>
      <c r="B10" s="2"/>
      <c r="C10" s="2"/>
      <c r="D10" s="2"/>
      <c r="E10" s="92"/>
      <c r="F10" s="93"/>
      <c r="G10" s="2"/>
      <c r="H10" s="2"/>
      <c r="I10" s="147"/>
    </row>
    <row r="11" spans="1:12" x14ac:dyDescent="0.25">
      <c r="A11" s="2"/>
      <c r="B11" s="2"/>
      <c r="C11" s="2"/>
      <c r="D11" s="2"/>
      <c r="E11" s="92"/>
      <c r="F11" s="93"/>
      <c r="G11" s="2"/>
      <c r="H11" s="2"/>
      <c r="I11" s="147"/>
    </row>
    <row r="12" spans="1:12" x14ac:dyDescent="0.25">
      <c r="A12" s="2"/>
      <c r="B12" s="2"/>
      <c r="C12" s="2"/>
      <c r="D12" s="2"/>
      <c r="E12" s="92"/>
      <c r="F12" s="93"/>
      <c r="G12" s="2"/>
      <c r="H12" s="2"/>
      <c r="I12" s="147"/>
    </row>
    <row r="13" spans="1:12" x14ac:dyDescent="0.25">
      <c r="A13" s="2"/>
      <c r="B13" s="2"/>
      <c r="C13" s="2"/>
      <c r="D13" s="2"/>
      <c r="E13" s="92"/>
      <c r="F13" s="93"/>
      <c r="G13" s="2"/>
      <c r="H13" s="2"/>
      <c r="I13" s="147"/>
    </row>
    <row r="14" spans="1:12" x14ac:dyDescent="0.25">
      <c r="A14" s="2"/>
      <c r="B14" s="2"/>
      <c r="C14" s="2"/>
      <c r="D14" s="2"/>
      <c r="E14" s="92"/>
      <c r="F14" s="93"/>
      <c r="G14" s="2"/>
      <c r="H14" s="2"/>
      <c r="I14" s="147"/>
    </row>
    <row r="15" spans="1:12" x14ac:dyDescent="0.25">
      <c r="A15" s="124"/>
      <c r="B15" s="2"/>
      <c r="C15" s="2"/>
      <c r="D15" s="2"/>
      <c r="E15" s="92"/>
      <c r="F15" s="93"/>
      <c r="G15" s="2"/>
      <c r="H15" s="2"/>
      <c r="I15" s="147"/>
    </row>
    <row r="16" spans="1:12" x14ac:dyDescent="0.25">
      <c r="A16" s="88"/>
      <c r="B16" s="2"/>
      <c r="C16" s="2"/>
      <c r="D16" s="2"/>
      <c r="E16" s="92"/>
      <c r="F16" s="93"/>
      <c r="G16" s="2"/>
      <c r="H16" s="2"/>
      <c r="I16" s="147"/>
    </row>
    <row r="17" spans="1:12" x14ac:dyDescent="0.25">
      <c r="A17" s="125"/>
      <c r="B17" s="2"/>
      <c r="C17" s="2"/>
      <c r="D17" s="2"/>
      <c r="E17" s="92"/>
      <c r="F17" s="93"/>
      <c r="G17" s="2"/>
      <c r="H17" s="2"/>
      <c r="I17" s="147"/>
    </row>
    <row r="18" spans="1:12" x14ac:dyDescent="0.25">
      <c r="A18" s="82"/>
      <c r="B18" s="82"/>
      <c r="C18" s="82"/>
      <c r="D18" s="82"/>
      <c r="E18" s="90"/>
      <c r="F18" s="91"/>
      <c r="G18" s="82"/>
      <c r="H18" s="82"/>
      <c r="I18" s="148"/>
    </row>
    <row r="19" spans="1:12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</row>
    <row r="20" spans="1:12" ht="34.5" x14ac:dyDescent="0.25">
      <c r="A20" s="75" t="s">
        <v>184</v>
      </c>
      <c r="B20" s="74" t="s">
        <v>271</v>
      </c>
      <c r="C20" s="74" t="s">
        <v>270</v>
      </c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5" t="s">
        <v>22</v>
      </c>
      <c r="B21" s="70" t="s">
        <v>347</v>
      </c>
      <c r="C21" s="70" t="s">
        <v>348</v>
      </c>
      <c r="D21" s="70"/>
      <c r="E21" s="70"/>
      <c r="F21" s="70"/>
      <c r="G21" s="23"/>
      <c r="I21" s="2"/>
      <c r="J21" s="2"/>
      <c r="K21" s="2"/>
      <c r="L21" s="2"/>
    </row>
    <row r="22" spans="1:12" ht="12" thickBot="1" x14ac:dyDescent="0.3">
      <c r="A22" s="46" t="s">
        <v>194</v>
      </c>
      <c r="B22" s="22" t="s">
        <v>268</v>
      </c>
      <c r="C22" s="22" t="s">
        <v>269</v>
      </c>
      <c r="D22" s="1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17</v>
      </c>
      <c r="B23" s="13">
        <v>6179</v>
      </c>
      <c r="C23">
        <v>75</v>
      </c>
      <c r="E23" s="83"/>
      <c r="F23" s="83"/>
      <c r="G23" s="83"/>
      <c r="H23" s="83"/>
      <c r="I23" s="83"/>
      <c r="J23" s="83"/>
      <c r="K23" s="83"/>
      <c r="L23" s="83"/>
    </row>
    <row r="24" spans="1:12" x14ac:dyDescent="0.25">
      <c r="A24" t="s">
        <v>15</v>
      </c>
      <c r="B24" s="13">
        <v>21</v>
      </c>
      <c r="C24">
        <v>0</v>
      </c>
      <c r="E24" s="83"/>
      <c r="F24" s="83"/>
      <c r="G24" s="83"/>
      <c r="H24" s="83"/>
      <c r="I24" s="83"/>
      <c r="J24" s="83"/>
      <c r="K24" s="83"/>
      <c r="L24" s="83"/>
    </row>
    <row r="25" spans="1:12" x14ac:dyDescent="0.25">
      <c r="A25" t="s">
        <v>13</v>
      </c>
      <c r="B25" s="13">
        <v>5730</v>
      </c>
      <c r="C25">
        <v>494</v>
      </c>
      <c r="E25" s="83"/>
      <c r="F25" s="83"/>
      <c r="G25" s="83"/>
      <c r="H25" s="83"/>
      <c r="I25" s="83"/>
      <c r="J25" s="83"/>
      <c r="K25" s="83"/>
      <c r="L25" s="83"/>
    </row>
    <row r="26" spans="1:12" x14ac:dyDescent="0.25">
      <c r="A26" t="s">
        <v>11</v>
      </c>
      <c r="B26" s="13">
        <v>3213</v>
      </c>
      <c r="C26">
        <v>134</v>
      </c>
      <c r="E26" s="84"/>
      <c r="F26" s="84"/>
      <c r="G26" s="84"/>
      <c r="H26" s="84"/>
      <c r="I26" s="84"/>
      <c r="J26" s="84"/>
      <c r="K26" s="84"/>
      <c r="L26" s="84"/>
    </row>
    <row r="27" spans="1:12" x14ac:dyDescent="0.25">
      <c r="A27" t="s">
        <v>9</v>
      </c>
      <c r="B27" s="13">
        <v>202</v>
      </c>
      <c r="C27">
        <v>2</v>
      </c>
      <c r="E27" s="84"/>
      <c r="F27" s="84"/>
      <c r="G27" s="84"/>
      <c r="H27" s="84"/>
      <c r="I27" s="84"/>
      <c r="J27" s="84"/>
      <c r="K27" s="84"/>
      <c r="L27" s="84"/>
    </row>
    <row r="28" spans="1:12" x14ac:dyDescent="0.25">
      <c r="A28" t="s">
        <v>7</v>
      </c>
      <c r="B28" s="13">
        <v>4609</v>
      </c>
      <c r="C28">
        <v>154</v>
      </c>
      <c r="E28" s="84"/>
      <c r="F28" s="84"/>
      <c r="G28" s="84"/>
      <c r="H28" s="84"/>
      <c r="I28" s="84"/>
      <c r="J28" s="84"/>
      <c r="K28" s="84"/>
      <c r="L28" s="84"/>
    </row>
    <row r="29" spans="1:12" x14ac:dyDescent="0.25">
      <c r="A29" t="s">
        <v>5</v>
      </c>
      <c r="B29" s="13">
        <v>1558</v>
      </c>
      <c r="C29">
        <v>879</v>
      </c>
      <c r="E29" s="84"/>
      <c r="F29" s="84"/>
      <c r="G29" s="84"/>
      <c r="H29" s="84"/>
      <c r="I29" s="84"/>
      <c r="J29" s="84"/>
      <c r="K29" s="84"/>
      <c r="L29" s="84"/>
    </row>
    <row r="30" spans="1:12" x14ac:dyDescent="0.25">
      <c r="A30" t="s">
        <v>3</v>
      </c>
      <c r="B30" s="13">
        <v>880</v>
      </c>
      <c r="C30">
        <v>1496</v>
      </c>
      <c r="E30" s="84"/>
      <c r="F30" s="84"/>
      <c r="G30" s="84"/>
      <c r="H30" s="84"/>
      <c r="I30" s="84"/>
      <c r="J30" s="84"/>
      <c r="K30" s="84"/>
      <c r="L30" s="84"/>
    </row>
    <row r="31" spans="1:12" x14ac:dyDescent="0.25">
      <c r="A31" s="2" t="s">
        <v>1</v>
      </c>
      <c r="B31" s="13">
        <v>0</v>
      </c>
      <c r="C31">
        <v>0</v>
      </c>
      <c r="E31" s="43"/>
      <c r="F31" s="43"/>
      <c r="G31" s="43"/>
      <c r="H31" s="43"/>
      <c r="I31" s="43"/>
      <c r="J31" s="43"/>
      <c r="K31" s="43"/>
      <c r="L31" s="43"/>
    </row>
    <row r="32" spans="1:12" x14ac:dyDescent="0.25">
      <c r="A32" s="2" t="s">
        <v>193</v>
      </c>
      <c r="B32" s="13">
        <v>0</v>
      </c>
      <c r="C32" s="43">
        <v>0</v>
      </c>
      <c r="D32" s="2"/>
      <c r="E32" s="2"/>
      <c r="F32" s="2"/>
      <c r="G32" s="2"/>
      <c r="H32" s="2"/>
      <c r="I32" s="2"/>
      <c r="J32" s="2"/>
      <c r="K32" s="2"/>
      <c r="L32" s="2"/>
    </row>
    <row r="36" spans="2:4" x14ac:dyDescent="0.25">
      <c r="B36" s="2"/>
      <c r="C36" s="2"/>
    </row>
    <row r="37" spans="2:4" x14ac:dyDescent="0.25">
      <c r="B37" s="2"/>
      <c r="C37" s="2"/>
    </row>
    <row r="38" spans="2:4" x14ac:dyDescent="0.25">
      <c r="B38" s="2"/>
      <c r="C38" s="2"/>
      <c r="D38" s="132"/>
    </row>
    <row r="39" spans="2:4" x14ac:dyDescent="0.25">
      <c r="B39" s="2"/>
      <c r="C39" s="2"/>
      <c r="D39" s="132"/>
    </row>
    <row r="40" spans="2:4" x14ac:dyDescent="0.25">
      <c r="B40" s="2"/>
      <c r="C40" s="2"/>
      <c r="D40" s="132"/>
    </row>
    <row r="41" spans="2:4" x14ac:dyDescent="0.25">
      <c r="B41" s="2"/>
      <c r="C41" s="2"/>
      <c r="D41" s="132"/>
    </row>
    <row r="42" spans="2:4" x14ac:dyDescent="0.25">
      <c r="B42" s="2"/>
      <c r="C42" s="2"/>
      <c r="D42" s="132"/>
    </row>
    <row r="43" spans="2:4" x14ac:dyDescent="0.25">
      <c r="B43" s="2"/>
      <c r="C43" s="2"/>
      <c r="D43" s="132"/>
    </row>
    <row r="44" spans="2:4" x14ac:dyDescent="0.25">
      <c r="B44" s="2"/>
      <c r="C44" s="2"/>
      <c r="D44" s="132"/>
    </row>
    <row r="45" spans="2:4" x14ac:dyDescent="0.25">
      <c r="B45" s="2"/>
      <c r="C45" s="2"/>
      <c r="D45" s="132"/>
    </row>
    <row r="46" spans="2:4" x14ac:dyDescent="0.25">
      <c r="B46" s="2"/>
      <c r="C46" s="2"/>
      <c r="D46" s="132"/>
    </row>
    <row r="47" spans="2:4" x14ac:dyDescent="0.25">
      <c r="B47" s="2"/>
      <c r="C47" s="2"/>
      <c r="D47" s="132"/>
    </row>
    <row r="48" spans="2:4" x14ac:dyDescent="0.25">
      <c r="B48" s="2"/>
      <c r="C48" s="2"/>
      <c r="D48" s="132"/>
    </row>
    <row r="49" spans="2:4" x14ac:dyDescent="0.25">
      <c r="B49" s="2"/>
      <c r="C49" s="2"/>
      <c r="D49" s="132"/>
    </row>
    <row r="50" spans="2:4" x14ac:dyDescent="0.25">
      <c r="C50" s="131"/>
      <c r="D50" s="132"/>
    </row>
    <row r="51" spans="2:4" x14ac:dyDescent="0.25">
      <c r="B51" s="131"/>
      <c r="C51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opLeftCell="A13" workbookViewId="0">
      <selection activeCell="D25" sqref="D25"/>
    </sheetView>
  </sheetViews>
  <sheetFormatPr defaultRowHeight="11.5" x14ac:dyDescent="0.25"/>
  <cols>
    <col min="1" max="1" width="17.7265625" customWidth="1"/>
    <col min="2" max="2" width="16.7265625" customWidth="1"/>
    <col min="3" max="3" width="14.36328125" customWidth="1"/>
    <col min="4" max="4" width="18.453125" customWidth="1"/>
    <col min="6" max="11" width="8.7265625" style="1"/>
  </cols>
  <sheetData>
    <row r="1" spans="1:11" ht="19.5" x14ac:dyDescent="0.35">
      <c r="A1" s="8" t="s">
        <v>25</v>
      </c>
    </row>
    <row r="2" spans="1:11" x14ac:dyDescent="0.25">
      <c r="A2" s="6" t="s">
        <v>24</v>
      </c>
    </row>
    <row r="3" spans="1:11" x14ac:dyDescent="0.25">
      <c r="A3" s="6"/>
    </row>
    <row r="4" spans="1:11" x14ac:dyDescent="0.25">
      <c r="A4" s="100" t="s">
        <v>176</v>
      </c>
      <c r="B4" s="98"/>
      <c r="C4" s="98"/>
      <c r="D4" s="98"/>
      <c r="E4" s="97"/>
      <c r="F4" s="127"/>
      <c r="G4" s="127"/>
      <c r="H4" s="2"/>
      <c r="I4" s="2"/>
      <c r="J4" s="2"/>
      <c r="K4" s="2"/>
    </row>
    <row r="5" spans="1:11" x14ac:dyDescent="0.25">
      <c r="A5" s="2"/>
      <c r="B5" s="2"/>
      <c r="C5" s="2"/>
      <c r="D5" s="2"/>
      <c r="E5" s="92"/>
      <c r="F5" s="2"/>
      <c r="G5" s="2"/>
      <c r="H5" s="2"/>
      <c r="I5" s="2"/>
      <c r="J5" s="2"/>
      <c r="K5" s="2"/>
    </row>
    <row r="6" spans="1:11" x14ac:dyDescent="0.25">
      <c r="A6" s="7" t="s">
        <v>304</v>
      </c>
      <c r="B6" s="2"/>
      <c r="C6" s="2"/>
      <c r="D6" s="2"/>
      <c r="E6" s="92"/>
      <c r="F6" s="2"/>
      <c r="G6" s="2"/>
      <c r="H6" s="2"/>
      <c r="I6" s="2"/>
      <c r="J6" s="2"/>
      <c r="K6" s="2"/>
    </row>
    <row r="7" spans="1:11" x14ac:dyDescent="0.25">
      <c r="A7" s="7" t="s">
        <v>305</v>
      </c>
      <c r="B7" s="2"/>
      <c r="C7" s="2"/>
      <c r="D7" s="2"/>
      <c r="E7" s="92"/>
      <c r="F7" s="2"/>
      <c r="G7" s="2"/>
      <c r="H7" s="2"/>
      <c r="I7" s="2"/>
      <c r="J7" s="2"/>
      <c r="K7" s="2"/>
    </row>
    <row r="8" spans="1:11" x14ac:dyDescent="0.25">
      <c r="A8" s="2" t="s">
        <v>303</v>
      </c>
      <c r="B8" s="2"/>
      <c r="C8" s="2"/>
      <c r="D8" s="2"/>
      <c r="E8" s="9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92"/>
      <c r="F9" s="2"/>
      <c r="G9" s="2"/>
      <c r="H9" s="52"/>
      <c r="I9" s="52"/>
      <c r="J9" s="52"/>
      <c r="K9" s="52"/>
    </row>
    <row r="10" spans="1:11" x14ac:dyDescent="0.25">
      <c r="A10" s="2"/>
      <c r="B10" s="2"/>
      <c r="C10" s="2"/>
      <c r="D10" s="2"/>
      <c r="E10" s="9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9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9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9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9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9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9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92"/>
      <c r="F17" s="2"/>
      <c r="G17" s="2"/>
      <c r="H17" s="2"/>
      <c r="I17" s="2"/>
      <c r="J17" s="2"/>
      <c r="K17" s="2"/>
    </row>
    <row r="18" spans="1:11" x14ac:dyDescent="0.25">
      <c r="A18" s="82"/>
      <c r="B18" s="82"/>
      <c r="C18" s="82"/>
      <c r="D18" s="82"/>
      <c r="E18" s="90"/>
      <c r="F18" s="2"/>
      <c r="G18" s="2"/>
      <c r="H18" s="2"/>
      <c r="I18" s="2"/>
      <c r="J18" s="2"/>
      <c r="K18" s="2"/>
    </row>
    <row r="19" spans="1:11" x14ac:dyDescent="0.25">
      <c r="A19" s="6"/>
    </row>
    <row r="20" spans="1:11" ht="34.5" x14ac:dyDescent="0.25">
      <c r="A20" s="5"/>
      <c r="B20" s="109" t="s">
        <v>23</v>
      </c>
      <c r="C20" s="109" t="s">
        <v>302</v>
      </c>
      <c r="D20" s="109" t="s">
        <v>350</v>
      </c>
    </row>
    <row r="21" spans="1:11" x14ac:dyDescent="0.25">
      <c r="A21" s="4" t="s">
        <v>22</v>
      </c>
    </row>
    <row r="22" spans="1:11" x14ac:dyDescent="0.25">
      <c r="A22" s="3" t="s">
        <v>21</v>
      </c>
      <c r="B22" s="2" t="s">
        <v>20</v>
      </c>
      <c r="C22" t="s">
        <v>19</v>
      </c>
      <c r="D22" t="s">
        <v>349</v>
      </c>
    </row>
    <row r="23" spans="1:11" x14ac:dyDescent="0.25">
      <c r="A23" s="1" t="s">
        <v>18</v>
      </c>
      <c r="B23" s="1" t="s">
        <v>17</v>
      </c>
    </row>
    <row r="24" spans="1:11" x14ac:dyDescent="0.25">
      <c r="A24" s="1" t="s">
        <v>16</v>
      </c>
      <c r="B24" s="1" t="s">
        <v>15</v>
      </c>
    </row>
    <row r="25" spans="1:11" x14ac:dyDescent="0.25">
      <c r="A25" t="s">
        <v>14</v>
      </c>
      <c r="B25" t="s">
        <v>13</v>
      </c>
    </row>
    <row r="26" spans="1:11" x14ac:dyDescent="0.25">
      <c r="A26" t="s">
        <v>12</v>
      </c>
      <c r="B26" t="s">
        <v>11</v>
      </c>
    </row>
    <row r="27" spans="1:11" x14ac:dyDescent="0.25">
      <c r="A27" t="s">
        <v>10</v>
      </c>
      <c r="B27" t="s">
        <v>9</v>
      </c>
    </row>
    <row r="28" spans="1:11" x14ac:dyDescent="0.25">
      <c r="A28" t="s">
        <v>8</v>
      </c>
      <c r="B28" t="s">
        <v>7</v>
      </c>
    </row>
    <row r="29" spans="1:11" x14ac:dyDescent="0.25">
      <c r="A29" t="s">
        <v>6</v>
      </c>
      <c r="B29" t="s">
        <v>5</v>
      </c>
    </row>
    <row r="30" spans="1:11" x14ac:dyDescent="0.25">
      <c r="A30" t="s">
        <v>4</v>
      </c>
      <c r="B30" t="s">
        <v>3</v>
      </c>
    </row>
    <row r="31" spans="1:11" x14ac:dyDescent="0.25">
      <c r="A31" t="s">
        <v>2</v>
      </c>
      <c r="B31" t="s">
        <v>1</v>
      </c>
      <c r="C31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showGridLines="0" zoomScale="70" zoomScaleNormal="70" workbookViewId="0">
      <selection activeCell="N49" sqref="C23:N49"/>
    </sheetView>
  </sheetViews>
  <sheetFormatPr defaultRowHeight="11.5" x14ac:dyDescent="0.25"/>
  <cols>
    <col min="1" max="1" width="11.36328125" customWidth="1"/>
    <col min="2" max="2" width="13.6328125" customWidth="1"/>
  </cols>
  <sheetData>
    <row r="1" spans="1:22" ht="19.5" x14ac:dyDescent="0.35">
      <c r="A1" s="101" t="s">
        <v>185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V1" s="23"/>
    </row>
    <row r="2" spans="1:22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V2" s="23"/>
    </row>
    <row r="3" spans="1:22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V3" s="23"/>
    </row>
    <row r="4" spans="1:22" x14ac:dyDescent="0.25">
      <c r="A4" s="100" t="s">
        <v>176</v>
      </c>
      <c r="B4" s="98"/>
      <c r="C4" s="98"/>
      <c r="D4" s="98"/>
      <c r="E4" s="97"/>
      <c r="F4" s="99" t="s">
        <v>175</v>
      </c>
      <c r="G4" s="98"/>
      <c r="H4" s="98"/>
      <c r="I4" s="98"/>
      <c r="J4" s="98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6"/>
      <c r="V4" s="23"/>
    </row>
    <row r="5" spans="1:22" x14ac:dyDescent="0.25">
      <c r="A5" s="2" t="s">
        <v>316</v>
      </c>
      <c r="B5" s="2"/>
      <c r="C5" s="2"/>
      <c r="D5" s="2"/>
      <c r="E5" s="92"/>
      <c r="F5" s="93"/>
      <c r="G5" s="48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47"/>
      <c r="V5" s="23"/>
    </row>
    <row r="6" spans="1:22" x14ac:dyDescent="0.25">
      <c r="A6" s="2" t="s">
        <v>306</v>
      </c>
      <c r="B6" s="2"/>
      <c r="C6" s="2"/>
      <c r="D6" s="2"/>
      <c r="E6" s="92"/>
      <c r="F6" s="93"/>
      <c r="G6" s="48" t="s">
        <v>308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47"/>
      <c r="V6" s="23"/>
    </row>
    <row r="7" spans="1:22" ht="18.5" x14ac:dyDescent="0.25">
      <c r="A7" s="95" t="s">
        <v>140</v>
      </c>
      <c r="B7" s="2"/>
      <c r="C7" s="2"/>
      <c r="D7" s="2"/>
      <c r="E7" s="92"/>
      <c r="F7" s="93"/>
      <c r="G7" s="25">
        <v>2030</v>
      </c>
      <c r="H7" s="30" t="s">
        <v>131</v>
      </c>
      <c r="I7" s="30" t="s">
        <v>130</v>
      </c>
      <c r="J7" s="30" t="s">
        <v>124</v>
      </c>
      <c r="K7" s="30" t="s">
        <v>109</v>
      </c>
      <c r="L7" s="30" t="s">
        <v>95</v>
      </c>
      <c r="M7" s="96" t="s">
        <v>38</v>
      </c>
      <c r="N7" s="24">
        <v>2050</v>
      </c>
      <c r="O7" s="30" t="s">
        <v>131</v>
      </c>
      <c r="P7" s="30" t="s">
        <v>130</v>
      </c>
      <c r="Q7" s="30" t="s">
        <v>124</v>
      </c>
      <c r="R7" s="30" t="s">
        <v>109</v>
      </c>
      <c r="S7" s="30" t="s">
        <v>95</v>
      </c>
      <c r="T7" s="96" t="s">
        <v>38</v>
      </c>
      <c r="U7" s="147"/>
      <c r="V7" s="23"/>
    </row>
    <row r="8" spans="1:22" ht="13" x14ac:dyDescent="0.3">
      <c r="B8" s="2"/>
      <c r="C8" s="2"/>
      <c r="D8" s="2"/>
      <c r="E8" s="92"/>
      <c r="F8" s="35"/>
      <c r="G8" s="19" t="s">
        <v>17</v>
      </c>
      <c r="H8" s="17">
        <v>2.0213245440902519</v>
      </c>
      <c r="I8" s="17">
        <v>1.4364066240712672</v>
      </c>
      <c r="J8" s="17">
        <v>1.8368812220228694</v>
      </c>
      <c r="K8" s="17">
        <v>1.7193280129853763</v>
      </c>
      <c r="L8" s="17">
        <v>1.1107666172261337</v>
      </c>
      <c r="M8" s="94">
        <f t="shared" ref="M8:M15" si="0">AVERAGE(H8:L8)</f>
        <v>1.6249414040791799</v>
      </c>
      <c r="N8" s="19" t="s">
        <v>17</v>
      </c>
      <c r="O8" s="17">
        <v>2.8114081740523451</v>
      </c>
      <c r="P8" s="17">
        <v>1.3935151025090879</v>
      </c>
      <c r="Q8" s="17">
        <v>2.4788508895922736</v>
      </c>
      <c r="R8" s="17">
        <v>2.3650172440957076</v>
      </c>
      <c r="S8" s="17">
        <v>1.2802893785372591</v>
      </c>
      <c r="T8" s="94">
        <f t="shared" ref="T8:T15" si="1">AVERAGE(O8:S8)</f>
        <v>2.0658161577573346</v>
      </c>
      <c r="U8" s="147"/>
    </row>
    <row r="9" spans="1:22" ht="13" x14ac:dyDescent="0.3">
      <c r="C9" s="2"/>
      <c r="D9" s="2"/>
      <c r="E9" s="92"/>
      <c r="F9" s="35"/>
      <c r="G9" s="19" t="s">
        <v>15</v>
      </c>
      <c r="H9" s="17">
        <v>1.5191310658141832</v>
      </c>
      <c r="I9" s="17">
        <v>1.3762341453438796</v>
      </c>
      <c r="J9" s="17">
        <v>1.3023627274944354</v>
      </c>
      <c r="K9" s="17">
        <v>1.3819429430733616</v>
      </c>
      <c r="L9" s="17">
        <v>1.3671284744683232</v>
      </c>
      <c r="M9" s="94">
        <f t="shared" si="0"/>
        <v>1.3893598712388369</v>
      </c>
      <c r="N9" s="19" t="s">
        <v>15</v>
      </c>
      <c r="O9" s="17">
        <v>1.9343158299626912</v>
      </c>
      <c r="P9" s="17">
        <v>1.5049050954888128</v>
      </c>
      <c r="Q9" s="17">
        <v>1.4876260210590491</v>
      </c>
      <c r="R9" s="17">
        <v>1.7030498481991594</v>
      </c>
      <c r="S9" s="17">
        <v>1.5545006456278867</v>
      </c>
      <c r="T9" s="94">
        <f t="shared" si="1"/>
        <v>1.6368794880675197</v>
      </c>
      <c r="U9" s="147"/>
    </row>
    <row r="10" spans="1:22" ht="13" x14ac:dyDescent="0.3">
      <c r="A10" s="15" t="s">
        <v>307</v>
      </c>
      <c r="B10" s="2"/>
      <c r="C10" s="2"/>
      <c r="D10" s="2"/>
      <c r="E10" s="92"/>
      <c r="F10" s="35"/>
      <c r="G10" s="19" t="s">
        <v>13</v>
      </c>
      <c r="H10" s="17">
        <v>2.2615289578787414</v>
      </c>
      <c r="I10" s="17">
        <v>1.7097207025795953</v>
      </c>
      <c r="J10" s="17">
        <v>1.6385804103518871</v>
      </c>
      <c r="K10" s="17">
        <v>1.8040798099919266</v>
      </c>
      <c r="L10" s="17">
        <v>1.4828612003096207</v>
      </c>
      <c r="M10" s="94">
        <f t="shared" si="0"/>
        <v>1.7793542162223541</v>
      </c>
      <c r="N10" s="19" t="s">
        <v>13</v>
      </c>
      <c r="O10" s="17">
        <v>4.9093595458801511</v>
      </c>
      <c r="P10" s="17">
        <v>2.7527277276289985</v>
      </c>
      <c r="Q10" s="17">
        <v>2.3857358988873036</v>
      </c>
      <c r="R10" s="17">
        <v>3.065491445949764</v>
      </c>
      <c r="S10" s="17">
        <v>2.1052638061959916</v>
      </c>
      <c r="T10" s="94">
        <f t="shared" si="1"/>
        <v>3.0437156849084417</v>
      </c>
      <c r="U10" s="147"/>
    </row>
    <row r="11" spans="1:22" ht="13" x14ac:dyDescent="0.3">
      <c r="A11" s="2" t="s">
        <v>309</v>
      </c>
      <c r="B11" s="2"/>
      <c r="C11" s="2"/>
      <c r="D11" s="2"/>
      <c r="E11" s="92"/>
      <c r="F11" s="35"/>
      <c r="G11" s="21" t="s">
        <v>11</v>
      </c>
      <c r="H11" s="17">
        <v>2.0884255168990378</v>
      </c>
      <c r="I11" s="17">
        <v>1.3695858062439372</v>
      </c>
      <c r="J11" s="17">
        <v>1.5301435747190297</v>
      </c>
      <c r="K11" s="17">
        <v>1.7706514490677756</v>
      </c>
      <c r="L11" s="17">
        <v>1.4780512788438025</v>
      </c>
      <c r="M11" s="94">
        <f t="shared" si="0"/>
        <v>1.6473715251547165</v>
      </c>
      <c r="N11" s="21" t="s">
        <v>11</v>
      </c>
      <c r="O11" s="17">
        <v>3.6783106318115948</v>
      </c>
      <c r="P11" s="17">
        <v>1.5295660078704221</v>
      </c>
      <c r="Q11" s="17">
        <v>1.8923243461097963</v>
      </c>
      <c r="R11" s="17">
        <v>2.6771189135728863</v>
      </c>
      <c r="S11" s="17">
        <v>1.7706569385749455</v>
      </c>
      <c r="T11" s="94">
        <f t="shared" si="1"/>
        <v>2.3095953675879288</v>
      </c>
      <c r="U11" s="147"/>
    </row>
    <row r="12" spans="1:22" ht="13" x14ac:dyDescent="0.3">
      <c r="A12" s="2" t="s">
        <v>310</v>
      </c>
      <c r="B12" s="2"/>
      <c r="C12" s="2"/>
      <c r="D12" s="2"/>
      <c r="E12" s="92"/>
      <c r="F12" s="35"/>
      <c r="G12" s="19" t="s">
        <v>9</v>
      </c>
      <c r="H12" s="17">
        <v>1.6383504490434893</v>
      </c>
      <c r="I12" s="17">
        <v>1.269486437521349</v>
      </c>
      <c r="J12" s="17">
        <v>1.4420534208070075</v>
      </c>
      <c r="K12" s="17">
        <v>1.4816222239998031</v>
      </c>
      <c r="L12" s="17">
        <v>1.2551489405856937</v>
      </c>
      <c r="M12" s="94">
        <f t="shared" si="0"/>
        <v>1.4173322943914686</v>
      </c>
      <c r="N12" s="19" t="s">
        <v>9</v>
      </c>
      <c r="O12" s="17">
        <v>2.3383140280869261</v>
      </c>
      <c r="P12" s="17">
        <v>1.4590000497919977</v>
      </c>
      <c r="Q12" s="17">
        <v>1.8360140799381548</v>
      </c>
      <c r="R12" s="17">
        <v>1.9260264665975679</v>
      </c>
      <c r="S12" s="17">
        <v>1.398990218662957</v>
      </c>
      <c r="T12" s="94">
        <f t="shared" si="1"/>
        <v>1.7916689686155209</v>
      </c>
      <c r="U12" s="147"/>
    </row>
    <row r="13" spans="1:22" ht="13" x14ac:dyDescent="0.3">
      <c r="A13" s="2" t="s">
        <v>311</v>
      </c>
      <c r="B13" s="2"/>
      <c r="C13" s="2"/>
      <c r="D13" s="2"/>
      <c r="E13" s="92"/>
      <c r="F13" s="35"/>
      <c r="G13" s="19" t="s">
        <v>7</v>
      </c>
      <c r="H13" s="17">
        <v>1.9765650365587295</v>
      </c>
      <c r="I13" s="17">
        <v>1.5719348167859721</v>
      </c>
      <c r="J13" s="17">
        <v>1.6714732707751372</v>
      </c>
      <c r="K13" s="17">
        <v>1.8383639543005927</v>
      </c>
      <c r="L13" s="17">
        <v>1.6197569879515934</v>
      </c>
      <c r="M13" s="94">
        <f t="shared" si="0"/>
        <v>1.7356188132744053</v>
      </c>
      <c r="N13" s="19" t="s">
        <v>7</v>
      </c>
      <c r="O13" s="17">
        <v>3.3885529313718727</v>
      </c>
      <c r="P13" s="17">
        <v>2.1836050192961336</v>
      </c>
      <c r="Q13" s="17">
        <v>2.365783248605406</v>
      </c>
      <c r="R13" s="17">
        <v>2.9333831690096623</v>
      </c>
      <c r="S13" s="17">
        <v>2.2623858857178214</v>
      </c>
      <c r="T13" s="94">
        <f t="shared" si="1"/>
        <v>2.6267420508001793</v>
      </c>
      <c r="U13" s="147"/>
    </row>
    <row r="14" spans="1:22" ht="13" x14ac:dyDescent="0.3">
      <c r="A14" s="2" t="s">
        <v>312</v>
      </c>
      <c r="B14" s="2"/>
      <c r="C14" s="2"/>
      <c r="D14" s="2"/>
      <c r="E14" s="92"/>
      <c r="F14" s="35"/>
      <c r="G14" s="19" t="s">
        <v>5</v>
      </c>
      <c r="H14" s="17">
        <v>2.3890835852203773</v>
      </c>
      <c r="I14" s="17">
        <v>1.693932141463165</v>
      </c>
      <c r="J14" s="17">
        <v>1.7930380806668877</v>
      </c>
      <c r="K14" s="17">
        <v>1.9861743428428691</v>
      </c>
      <c r="L14" s="17">
        <v>1.680921023835563</v>
      </c>
      <c r="M14" s="94">
        <f t="shared" si="0"/>
        <v>1.9086298348057724</v>
      </c>
      <c r="N14" s="19" t="s">
        <v>5</v>
      </c>
      <c r="O14" s="17">
        <v>4.9474633785716158</v>
      </c>
      <c r="P14" s="17">
        <v>2.4719617772704394</v>
      </c>
      <c r="Q14" s="17">
        <v>2.8112771309096138</v>
      </c>
      <c r="R14" s="17">
        <v>3.4366215711017558</v>
      </c>
      <c r="S14" s="17">
        <v>2.4463433203899148</v>
      </c>
      <c r="T14" s="94">
        <f t="shared" si="1"/>
        <v>3.2227334356486681</v>
      </c>
      <c r="U14" s="147"/>
    </row>
    <row r="15" spans="1:22" ht="13" x14ac:dyDescent="0.3">
      <c r="A15" s="154" t="s">
        <v>351</v>
      </c>
      <c r="B15" s="2"/>
      <c r="C15" s="2"/>
      <c r="D15" s="2"/>
      <c r="E15" s="92"/>
      <c r="F15" s="35"/>
      <c r="G15" s="19" t="s">
        <v>3</v>
      </c>
      <c r="H15" s="17">
        <v>1.442985629885404</v>
      </c>
      <c r="I15" s="17">
        <v>1.1316338534469594</v>
      </c>
      <c r="J15" s="17">
        <v>1.1002501418084503</v>
      </c>
      <c r="K15" s="17">
        <v>1.1955928010898076</v>
      </c>
      <c r="L15" s="17">
        <v>1.1568665485467211</v>
      </c>
      <c r="M15" s="94">
        <f t="shared" si="0"/>
        <v>1.2054657949554684</v>
      </c>
      <c r="N15" s="19" t="s">
        <v>3</v>
      </c>
      <c r="O15" s="17">
        <v>2.4433288900769412</v>
      </c>
      <c r="P15" s="17">
        <v>1.1828342843818149</v>
      </c>
      <c r="Q15" s="17">
        <v>1.2143219619802681</v>
      </c>
      <c r="R15" s="17">
        <v>1.4798278999031433</v>
      </c>
      <c r="S15" s="17">
        <v>1.1592849752435348</v>
      </c>
      <c r="T15" s="94">
        <f t="shared" si="1"/>
        <v>1.4959196023171404</v>
      </c>
      <c r="U15" s="147"/>
    </row>
    <row r="16" spans="1:22" x14ac:dyDescent="0.25">
      <c r="A16" s="2"/>
      <c r="B16" s="2"/>
      <c r="C16" s="2"/>
      <c r="D16" s="2"/>
      <c r="E16" s="92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47"/>
    </row>
    <row r="17" spans="1:28" x14ac:dyDescent="0.25">
      <c r="A17" s="2"/>
      <c r="B17" s="2"/>
      <c r="C17" s="2"/>
      <c r="D17" s="2"/>
      <c r="E17" s="92"/>
      <c r="F17" s="93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47"/>
      <c r="V17" s="23"/>
    </row>
    <row r="18" spans="1:28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148"/>
      <c r="V18" s="23"/>
    </row>
    <row r="19" spans="1:28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8" x14ac:dyDescent="0.25">
      <c r="A20" s="149" t="s">
        <v>313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8" x14ac:dyDescent="0.25">
      <c r="B21" s="75" t="s">
        <v>357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8" ht="12" thickBot="1" x14ac:dyDescent="0.3">
      <c r="A22" s="67" t="s">
        <v>182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  <c r="U22" s="23"/>
      <c r="V22" s="23"/>
      <c r="W22" s="23"/>
    </row>
    <row r="23" spans="1:28" x14ac:dyDescent="0.25">
      <c r="A23" s="62" t="s">
        <v>150</v>
      </c>
      <c r="B23" s="1" t="s">
        <v>18</v>
      </c>
      <c r="C23" s="13">
        <v>407.69746835443038</v>
      </c>
      <c r="D23" s="13">
        <v>28.412025316455697</v>
      </c>
      <c r="E23" s="13">
        <v>100.36455696202532</v>
      </c>
      <c r="F23" s="13">
        <v>39.179746835443034</v>
      </c>
      <c r="G23" s="13">
        <v>7.5810126582278476</v>
      </c>
      <c r="H23" s="13">
        <v>7.4468354430379744</v>
      </c>
      <c r="I23" s="13">
        <v>10.130379746835443</v>
      </c>
      <c r="J23" s="13">
        <v>56.086075949367086</v>
      </c>
      <c r="K23" s="13">
        <v>0.97278481012658236</v>
      </c>
      <c r="L23" s="13">
        <v>0.97278481012658236</v>
      </c>
      <c r="M23" s="13">
        <v>28.646835443037972</v>
      </c>
      <c r="N23" s="13">
        <v>49.175949367088606</v>
      </c>
      <c r="O23" s="23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23"/>
    </row>
    <row r="24" spans="1:28" x14ac:dyDescent="0.25">
      <c r="A24" s="62"/>
      <c r="B24" s="1" t="s">
        <v>16</v>
      </c>
      <c r="C24" s="13">
        <v>0</v>
      </c>
      <c r="D24" s="13">
        <v>1.55125</v>
      </c>
      <c r="E24" s="13">
        <v>0.97750000000000004</v>
      </c>
      <c r="F24" s="13">
        <v>0.93499999999999994</v>
      </c>
      <c r="G24" s="13">
        <v>0.23374999999999999</v>
      </c>
      <c r="H24" s="13">
        <v>9.5624999999999988E-2</v>
      </c>
      <c r="I24" s="13">
        <v>0.22312500000000005</v>
      </c>
      <c r="J24" s="13">
        <v>0.23374999999999999</v>
      </c>
      <c r="K24" s="13">
        <v>4.2500000000000003E-2</v>
      </c>
      <c r="L24" s="13">
        <v>4.2500000000000003E-2</v>
      </c>
      <c r="M24" s="13">
        <v>0.75437499999999991</v>
      </c>
      <c r="N24" s="13">
        <v>0.77562500000000001</v>
      </c>
      <c r="O24" s="23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8" x14ac:dyDescent="0.25">
      <c r="A25" s="62"/>
      <c r="B25" t="s">
        <v>14</v>
      </c>
      <c r="C25" s="13">
        <v>3280.1832061068699</v>
      </c>
      <c r="D25" s="13">
        <v>189.12061068702292</v>
      </c>
      <c r="E25" s="13">
        <v>841.23358778625959</v>
      </c>
      <c r="F25" s="13">
        <v>2435.8106870229008</v>
      </c>
      <c r="G25" s="13">
        <v>252.68396946564886</v>
      </c>
      <c r="H25" s="13">
        <v>323.30992366412215</v>
      </c>
      <c r="I25" s="13">
        <v>62.778625954198475</v>
      </c>
      <c r="J25" s="13">
        <v>2912.1435114503815</v>
      </c>
      <c r="K25" s="13">
        <v>6.2778625954198475</v>
      </c>
      <c r="L25" s="13">
        <v>6.2778625954198475</v>
      </c>
      <c r="M25" s="13">
        <v>2227.856488549618</v>
      </c>
      <c r="N25" s="13">
        <v>274.6564885496183</v>
      </c>
      <c r="O25" s="23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8" x14ac:dyDescent="0.25">
      <c r="A26" s="62"/>
      <c r="B26" t="s">
        <v>12</v>
      </c>
      <c r="C26" s="13">
        <v>1033.6300000000001</v>
      </c>
      <c r="D26" s="13">
        <v>104.26</v>
      </c>
      <c r="E26" s="13">
        <v>82.94</v>
      </c>
      <c r="F26" s="13">
        <v>242.06000000000003</v>
      </c>
      <c r="G26" s="13">
        <v>35.49</v>
      </c>
      <c r="H26" s="13">
        <v>51.74</v>
      </c>
      <c r="I26" s="13">
        <v>73.58</v>
      </c>
      <c r="J26" s="13">
        <v>141.83000000000001</v>
      </c>
      <c r="K26" s="13">
        <v>3.2500000000000004</v>
      </c>
      <c r="L26" s="13">
        <v>3.2500000000000004</v>
      </c>
      <c r="M26" s="13">
        <v>424.19</v>
      </c>
      <c r="N26" s="13">
        <v>62.010000000000005</v>
      </c>
      <c r="O26" s="23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8" x14ac:dyDescent="0.25">
      <c r="A27" s="62"/>
      <c r="B27" t="s">
        <v>10</v>
      </c>
      <c r="C27" s="13">
        <v>0</v>
      </c>
      <c r="D27" s="13">
        <v>7.4249999999999998</v>
      </c>
      <c r="E27" s="13">
        <v>2.8049999999999997</v>
      </c>
      <c r="F27" s="13">
        <v>7.15</v>
      </c>
      <c r="G27" s="13">
        <v>0.82499999999999996</v>
      </c>
      <c r="H27" s="13">
        <v>1.0449999999999999</v>
      </c>
      <c r="I27" s="13">
        <v>0.495</v>
      </c>
      <c r="J27" s="13">
        <v>1.98</v>
      </c>
      <c r="K27" s="13">
        <v>0.33</v>
      </c>
      <c r="L27" s="13">
        <v>0.33</v>
      </c>
      <c r="M27" s="13">
        <v>2.09</v>
      </c>
      <c r="N27" s="13">
        <v>3.74</v>
      </c>
      <c r="O27" s="23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8" x14ac:dyDescent="0.25">
      <c r="A28" s="62"/>
      <c r="B28" t="s">
        <v>8</v>
      </c>
      <c r="C28" s="13">
        <v>167.10785340314132</v>
      </c>
      <c r="D28" s="13">
        <v>58.818848167539258</v>
      </c>
      <c r="E28" s="13">
        <v>153.47434554973819</v>
      </c>
      <c r="F28" s="13">
        <v>137.60104712041883</v>
      </c>
      <c r="G28" s="13">
        <v>32.460732984293188</v>
      </c>
      <c r="H28" s="13">
        <v>38.336125654450257</v>
      </c>
      <c r="I28" s="13">
        <v>34.700523560209419</v>
      </c>
      <c r="J28" s="13">
        <v>104.88062827225129</v>
      </c>
      <c r="K28" s="13">
        <v>0.48691099476439781</v>
      </c>
      <c r="L28" s="13">
        <v>0.48691099476439781</v>
      </c>
      <c r="M28" s="13">
        <v>105.72460732984291</v>
      </c>
      <c r="N28" s="13">
        <v>67.485863874345554</v>
      </c>
      <c r="O28" s="23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8" x14ac:dyDescent="0.25">
      <c r="A29" s="62"/>
      <c r="B29" t="s">
        <v>6</v>
      </c>
      <c r="C29" s="13">
        <v>777.14036697247718</v>
      </c>
      <c r="D29" s="13">
        <v>158.34495412844038</v>
      </c>
      <c r="E29" s="13">
        <v>95.145871559633036</v>
      </c>
      <c r="F29" s="13">
        <v>1312.5963302752293</v>
      </c>
      <c r="G29" s="13">
        <v>173.62385321100919</v>
      </c>
      <c r="H29" s="13">
        <v>20.140366972477064</v>
      </c>
      <c r="I29" s="13">
        <v>28.474311926605505</v>
      </c>
      <c r="J29" s="13">
        <v>142.37155963302752</v>
      </c>
      <c r="K29" s="13">
        <v>4.1669724770642205</v>
      </c>
      <c r="L29" s="13">
        <v>4.1669724770642205</v>
      </c>
      <c r="M29" s="13">
        <v>2424.4834862385319</v>
      </c>
      <c r="N29" s="13">
        <v>266.68623853211011</v>
      </c>
      <c r="O29" s="23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8" x14ac:dyDescent="0.25">
      <c r="A30" s="58"/>
      <c r="B30" s="1" t="s">
        <v>4</v>
      </c>
      <c r="C30" s="13">
        <v>141.60683760683762</v>
      </c>
      <c r="D30" s="13">
        <v>378.05128205128204</v>
      </c>
      <c r="E30" s="13">
        <v>124.71794871794873</v>
      </c>
      <c r="F30" s="13">
        <v>1017.2307692307694</v>
      </c>
      <c r="G30" s="13">
        <v>196.17094017094016</v>
      </c>
      <c r="H30" s="13">
        <v>44.820512820512825</v>
      </c>
      <c r="I30" s="13">
        <v>65.606837606837615</v>
      </c>
      <c r="J30" s="13">
        <v>39.623931623931625</v>
      </c>
      <c r="K30" s="13">
        <v>8.4444444444444429</v>
      </c>
      <c r="L30" s="13">
        <v>8.4444444444444429</v>
      </c>
      <c r="M30" s="13">
        <v>2231.2820512820513</v>
      </c>
      <c r="N30" s="13">
        <v>139.008547008547</v>
      </c>
      <c r="O30" s="23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8" x14ac:dyDescent="0.25">
      <c r="A31" s="56"/>
      <c r="B31" s="82" t="s">
        <v>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99000</v>
      </c>
      <c r="L31" s="39">
        <v>99000</v>
      </c>
      <c r="M31" s="39">
        <v>99000</v>
      </c>
      <c r="N31" s="39">
        <v>0</v>
      </c>
      <c r="O31" s="23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8" x14ac:dyDescent="0.25">
      <c r="A32" s="87" t="s">
        <v>181</v>
      </c>
      <c r="B32" s="1" t="s">
        <v>18</v>
      </c>
      <c r="C32" s="13">
        <f t="shared" ref="C32:C39" si="2">C23*L8</f>
        <v>452.85673777570935</v>
      </c>
      <c r="D32" s="13">
        <f t="shared" ref="D32:D39" si="3">D23*J8</f>
        <v>52.189515783435844</v>
      </c>
      <c r="E32" s="13">
        <f>E23*H8</f>
        <v>202.86934234408594</v>
      </c>
      <c r="F32" s="13">
        <f>F23*J8</f>
        <v>71.968541245635251</v>
      </c>
      <c r="G32" s="13">
        <f>G23*I8</f>
        <v>10.889416799446606</v>
      </c>
      <c r="H32" s="13">
        <f t="shared" ref="H32:H39" si="4">H23*K8</f>
        <v>12.803552785307556</v>
      </c>
      <c r="I32" s="13">
        <f t="shared" ref="I32:I39" si="5">I23*J8</f>
        <v>18.608304328922813</v>
      </c>
      <c r="J32" s="13">
        <f t="shared" ref="J32:K39" si="6">J23*L8</f>
        <v>62.29854085576649</v>
      </c>
      <c r="K32" s="42">
        <f t="shared" si="6"/>
        <v>1.5807183152339872</v>
      </c>
      <c r="L32" s="42">
        <f t="shared" ref="L32:L39" si="7">L23*M8</f>
        <v>1.5807183152339872</v>
      </c>
      <c r="M32" s="155">
        <v>2.8646835443037973E-2</v>
      </c>
      <c r="N32" s="13">
        <f t="shared" ref="N32:N39" si="8">N23*H8</f>
        <v>99.400553434635682</v>
      </c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5">
      <c r="A33" s="87"/>
      <c r="B33" s="1" t="s">
        <v>16</v>
      </c>
      <c r="C33" s="13">
        <f t="shared" si="2"/>
        <v>0</v>
      </c>
      <c r="D33" s="13">
        <f t="shared" si="3"/>
        <v>2.020290181025743</v>
      </c>
      <c r="E33" s="13">
        <f t="shared" ref="E33:E39" si="9">E24*H9</f>
        <v>1.4849506168333642</v>
      </c>
      <c r="F33" s="13">
        <f t="shared" ref="F33:F39" si="10">F24*J9</f>
        <v>1.217709150207297</v>
      </c>
      <c r="G33" s="13">
        <f t="shared" ref="G33:G39" si="11">G24*I9</f>
        <v>0.3216947314741318</v>
      </c>
      <c r="H33" s="13">
        <f t="shared" si="4"/>
        <v>0.13214829393139019</v>
      </c>
      <c r="I33" s="13">
        <f t="shared" si="5"/>
        <v>0.29058968357219594</v>
      </c>
      <c r="J33" s="13">
        <f t="shared" si="6"/>
        <v>0.31956628090697053</v>
      </c>
      <c r="K33" s="13">
        <f>K24*M9</f>
        <v>5.904779452765057E-2</v>
      </c>
      <c r="L33" s="13">
        <f t="shared" si="7"/>
        <v>5.904779452765057E-2</v>
      </c>
      <c r="M33" s="13">
        <v>7.5437499999999995E-4</v>
      </c>
      <c r="N33" s="13">
        <f t="shared" si="8"/>
        <v>1.1782760329221258</v>
      </c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5">
      <c r="A34" s="87"/>
      <c r="B34" t="s">
        <v>14</v>
      </c>
      <c r="C34" s="13">
        <f t="shared" si="2"/>
        <v>4864.0564062430931</v>
      </c>
      <c r="D34" s="13">
        <f t="shared" si="3"/>
        <v>309.88932786554147</v>
      </c>
      <c r="E34" s="13">
        <f t="shared" si="9"/>
        <v>1902.4741191188543</v>
      </c>
      <c r="F34" s="13">
        <f t="shared" si="10"/>
        <v>3991.2716750814966</v>
      </c>
      <c r="G34" s="13">
        <f t="shared" si="11"/>
        <v>432.01901380541017</v>
      </c>
      <c r="H34" s="13">
        <f t="shared" si="4"/>
        <v>583.27690565247383</v>
      </c>
      <c r="I34" s="13">
        <f t="shared" si="5"/>
        <v>102.86782667735817</v>
      </c>
      <c r="J34" s="13">
        <f t="shared" si="6"/>
        <v>4318.3046228631865</v>
      </c>
      <c r="K34" s="13">
        <f t="shared" si="6"/>
        <v>11.170541278024917</v>
      </c>
      <c r="L34" s="13">
        <f t="shared" si="7"/>
        <v>11.170541278024917</v>
      </c>
      <c r="M34" s="13">
        <v>2.2278564885496182</v>
      </c>
      <c r="N34" s="13">
        <f>N25*H10</f>
        <v>621.14360232425281</v>
      </c>
    </row>
    <row r="35" spans="1:23" x14ac:dyDescent="0.25">
      <c r="A35" s="87"/>
      <c r="B35" t="s">
        <v>12</v>
      </c>
      <c r="C35" s="13">
        <f t="shared" si="2"/>
        <v>1527.7581433513196</v>
      </c>
      <c r="D35" s="13">
        <f t="shared" si="3"/>
        <v>159.53276910020605</v>
      </c>
      <c r="E35" s="13">
        <f t="shared" si="9"/>
        <v>173.2140123716062</v>
      </c>
      <c r="F35" s="13">
        <f t="shared" si="10"/>
        <v>370.38655369648836</v>
      </c>
      <c r="G35" s="13">
        <f t="shared" si="11"/>
        <v>48.606600263597336</v>
      </c>
      <c r="H35" s="13">
        <f t="shared" si="4"/>
        <v>91.61350597476671</v>
      </c>
      <c r="I35" s="13">
        <f t="shared" si="5"/>
        <v>112.58796422782621</v>
      </c>
      <c r="J35" s="13">
        <f t="shared" si="6"/>
        <v>209.63201287841653</v>
      </c>
      <c r="K35" s="13">
        <f t="shared" si="6"/>
        <v>5.3539574567528296</v>
      </c>
      <c r="L35" s="13">
        <f t="shared" si="7"/>
        <v>5.3539574567528296</v>
      </c>
      <c r="M35" s="13">
        <v>0.42419000000000001</v>
      </c>
      <c r="N35" s="13">
        <f t="shared" si="8"/>
        <v>129.50326630290934</v>
      </c>
    </row>
    <row r="36" spans="1:23" x14ac:dyDescent="0.25">
      <c r="A36" s="87"/>
      <c r="B36" t="s">
        <v>10</v>
      </c>
      <c r="C36" s="13">
        <f t="shared" si="2"/>
        <v>0</v>
      </c>
      <c r="D36" s="13">
        <f t="shared" si="3"/>
        <v>10.70724664949203</v>
      </c>
      <c r="E36" s="13">
        <f t="shared" si="9"/>
        <v>4.5955730095669871</v>
      </c>
      <c r="F36" s="13">
        <f t="shared" si="10"/>
        <v>10.310681958770104</v>
      </c>
      <c r="G36" s="13">
        <f t="shared" si="11"/>
        <v>1.047326310955113</v>
      </c>
      <c r="H36" s="13">
        <f t="shared" si="4"/>
        <v>1.5482952240797943</v>
      </c>
      <c r="I36" s="13">
        <f t="shared" si="5"/>
        <v>0.71381644329946869</v>
      </c>
      <c r="J36" s="13">
        <f t="shared" si="6"/>
        <v>2.4851949023596736</v>
      </c>
      <c r="K36" s="13">
        <f t="shared" si="6"/>
        <v>0.46771965714918468</v>
      </c>
      <c r="L36" s="13">
        <f t="shared" si="7"/>
        <v>0.46771965714918468</v>
      </c>
      <c r="M36" s="13">
        <v>2.0899999999999998E-3</v>
      </c>
      <c r="N36" s="13">
        <f t="shared" si="8"/>
        <v>6.1274306794226501</v>
      </c>
    </row>
    <row r="37" spans="1:23" x14ac:dyDescent="0.25">
      <c r="A37" s="87"/>
      <c r="B37" t="s">
        <v>8</v>
      </c>
      <c r="C37" s="13">
        <f t="shared" si="2"/>
        <v>270.67411329132864</v>
      </c>
      <c r="D37" s="13">
        <f t="shared" si="3"/>
        <v>98.314132529823027</v>
      </c>
      <c r="E37" s="13">
        <f t="shared" si="9"/>
        <v>303.35202542234532</v>
      </c>
      <c r="F37" s="13">
        <f t="shared" si="10"/>
        <v>229.99647229245022</v>
      </c>
      <c r="G37" s="13">
        <f t="shared" si="11"/>
        <v>51.026156356403277</v>
      </c>
      <c r="H37" s="13">
        <f t="shared" si="4"/>
        <v>70.475751550679576</v>
      </c>
      <c r="I37" s="13">
        <f t="shared" si="5"/>
        <v>58.000997612792943</v>
      </c>
      <c r="J37" s="13">
        <f t="shared" si="6"/>
        <v>169.88113054473249</v>
      </c>
      <c r="K37" s="13">
        <f t="shared" si="6"/>
        <v>0.84509188290324433</v>
      </c>
      <c r="L37" s="13">
        <f t="shared" si="7"/>
        <v>0.84509188290324433</v>
      </c>
      <c r="M37" s="13">
        <v>0.10572460732984292</v>
      </c>
      <c r="N37" s="13">
        <f t="shared" si="8"/>
        <v>133.39019899599327</v>
      </c>
    </row>
    <row r="38" spans="1:23" x14ac:dyDescent="0.25">
      <c r="A38" s="87"/>
      <c r="B38" t="s">
        <v>6</v>
      </c>
      <c r="C38" s="102">
        <f t="shared" si="2"/>
        <v>1306.3115813153215</v>
      </c>
      <c r="D38" s="102">
        <f t="shared" si="3"/>
        <v>283.91853263374514</v>
      </c>
      <c r="E38" s="102">
        <f t="shared" si="9"/>
        <v>227.31143994460564</v>
      </c>
      <c r="F38" s="102">
        <f t="shared" si="10"/>
        <v>2353.5352047270976</v>
      </c>
      <c r="G38" s="102">
        <f t="shared" si="11"/>
        <v>294.10702547881101</v>
      </c>
      <c r="H38" s="102">
        <f t="shared" si="4"/>
        <v>40.002280136173859</v>
      </c>
      <c r="I38" s="102">
        <f t="shared" si="5"/>
        <v>51.055525605191008</v>
      </c>
      <c r="J38" s="102">
        <f t="shared" si="6"/>
        <v>239.31534778341452</v>
      </c>
      <c r="K38" s="102">
        <f t="shared" si="6"/>
        <v>7.9532079905392834</v>
      </c>
      <c r="L38" s="13">
        <f t="shared" si="7"/>
        <v>7.9532079905392834</v>
      </c>
      <c r="M38" s="13">
        <v>2.424483486238532</v>
      </c>
      <c r="N38" s="13">
        <f t="shared" si="8"/>
        <v>637.13571488123034</v>
      </c>
    </row>
    <row r="39" spans="1:23" x14ac:dyDescent="0.25">
      <c r="A39" s="86"/>
      <c r="B39" s="1" t="s">
        <v>4</v>
      </c>
      <c r="C39" s="102">
        <f t="shared" si="2"/>
        <v>163.82021347283825</v>
      </c>
      <c r="D39" s="102">
        <f t="shared" si="3"/>
        <v>415.95097668778948</v>
      </c>
      <c r="E39" s="102">
        <f t="shared" si="9"/>
        <v>179.96620778878477</v>
      </c>
      <c r="F39" s="102">
        <f t="shared" si="10"/>
        <v>1119.2082980980729</v>
      </c>
      <c r="G39" s="102">
        <f t="shared" si="11"/>
        <v>221.99367695995394</v>
      </c>
      <c r="H39" s="102">
        <f t="shared" si="4"/>
        <v>53.587082469358563</v>
      </c>
      <c r="I39" s="102">
        <f t="shared" si="5"/>
        <v>72.183932380527054</v>
      </c>
      <c r="J39" s="102">
        <f t="shared" si="6"/>
        <v>45.83960101762905</v>
      </c>
      <c r="K39" s="102">
        <f t="shared" si="6"/>
        <v>10.179488935179508</v>
      </c>
      <c r="L39" s="13">
        <f t="shared" si="7"/>
        <v>10.179488935179508</v>
      </c>
      <c r="M39" s="13">
        <v>2.2312820512820513</v>
      </c>
      <c r="N39" s="102">
        <f t="shared" si="8"/>
        <v>200.58733576458297</v>
      </c>
    </row>
    <row r="40" spans="1:23" x14ac:dyDescent="0.25">
      <c r="A40" s="85"/>
      <c r="B40" s="82" t="s">
        <v>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99000</v>
      </c>
      <c r="L40" s="39">
        <v>99000</v>
      </c>
      <c r="M40" s="39">
        <v>99000</v>
      </c>
      <c r="N40" s="39">
        <v>0</v>
      </c>
    </row>
    <row r="41" spans="1:23" x14ac:dyDescent="0.25">
      <c r="A41" s="87" t="s">
        <v>275</v>
      </c>
      <c r="B41" s="1" t="s">
        <v>18</v>
      </c>
      <c r="C41" s="13">
        <f t="shared" ref="C41:C48" si="12">C23*S8</f>
        <v>521.97073839070754</v>
      </c>
      <c r="D41" s="13">
        <f t="shared" ref="D41:D48" si="13">D23*Q8</f>
        <v>70.429174230814411</v>
      </c>
      <c r="E41" s="13">
        <f t="shared" ref="E41:E48" si="14">E23*O8</f>
        <v>282.16573582818017</v>
      </c>
      <c r="F41" s="13">
        <f t="shared" ref="F41:F48" si="15">F23*Q8</f>
        <v>97.120750297038029</v>
      </c>
      <c r="G41" s="13">
        <f t="shared" ref="G41:G48" si="16">G23*P8</f>
        <v>10.564255631553072</v>
      </c>
      <c r="H41" s="13">
        <f t="shared" ref="H41:H48" si="17">H23*R8</f>
        <v>17.611894236727906</v>
      </c>
      <c r="I41" s="13">
        <f t="shared" ref="I41:I48" si="18">I23*Q8</f>
        <v>25.11170084735059</v>
      </c>
      <c r="J41" s="13">
        <f t="shared" ref="J41:K48" si="19">J23*S8</f>
        <v>71.806407321808706</v>
      </c>
      <c r="K41" s="42">
        <f t="shared" si="19"/>
        <v>2.0095945787803946</v>
      </c>
      <c r="L41" s="42">
        <f t="shared" ref="L41:L48" si="20">L23*T8</f>
        <v>2.0095945787803946</v>
      </c>
      <c r="M41" s="155">
        <v>2.8646835443037973E-2</v>
      </c>
      <c r="N41" s="13">
        <f t="shared" ref="N41:N48" si="21">N23*O8</f>
        <v>138.25366601741715</v>
      </c>
    </row>
    <row r="42" spans="1:23" x14ac:dyDescent="0.25">
      <c r="A42" s="87"/>
      <c r="B42" s="1" t="s">
        <v>16</v>
      </c>
      <c r="C42" s="13">
        <f t="shared" si="12"/>
        <v>0</v>
      </c>
      <c r="D42" s="13">
        <f t="shared" si="13"/>
        <v>2.3076798651678501</v>
      </c>
      <c r="E42" s="13">
        <f t="shared" si="14"/>
        <v>1.8907937237885308</v>
      </c>
      <c r="F42" s="13">
        <f t="shared" si="15"/>
        <v>1.3909303296902107</v>
      </c>
      <c r="G42" s="13">
        <f t="shared" si="16"/>
        <v>0.35177156607050997</v>
      </c>
      <c r="H42" s="13">
        <f t="shared" si="17"/>
        <v>0.16285414173404458</v>
      </c>
      <c r="I42" s="13">
        <f t="shared" si="18"/>
        <v>0.33192655594880038</v>
      </c>
      <c r="J42" s="13">
        <f t="shared" si="19"/>
        <v>0.36336452591551849</v>
      </c>
      <c r="K42" s="13">
        <f t="shared" si="19"/>
        <v>6.9567378242869599E-2</v>
      </c>
      <c r="L42" s="13">
        <f t="shared" si="20"/>
        <v>6.9567378242869599E-2</v>
      </c>
      <c r="M42" s="13">
        <v>7.5437499999999995E-4</v>
      </c>
      <c r="N42" s="13">
        <f t="shared" si="21"/>
        <v>1.5003037156148125</v>
      </c>
    </row>
    <row r="43" spans="1:23" x14ac:dyDescent="0.25">
      <c r="A43" s="87"/>
      <c r="B43" t="s">
        <v>14</v>
      </c>
      <c r="C43" s="13">
        <f t="shared" si="12"/>
        <v>6905.6509815087202</v>
      </c>
      <c r="D43" s="13">
        <f t="shared" si="13"/>
        <v>451.19183013552043</v>
      </c>
      <c r="E43" s="13">
        <f t="shared" si="14"/>
        <v>4129.9181445134818</v>
      </c>
      <c r="F43" s="13">
        <f t="shared" si="15"/>
        <v>5811.2009989238804</v>
      </c>
      <c r="G43" s="13">
        <f t="shared" si="16"/>
        <v>695.57016907545085</v>
      </c>
      <c r="H43" s="13">
        <f t="shared" si="17"/>
        <v>991.10380538303764</v>
      </c>
      <c r="I43" s="13">
        <f t="shared" si="18"/>
        <v>149.77322162174951</v>
      </c>
      <c r="J43" s="13">
        <f t="shared" si="19"/>
        <v>6130.8303331049901</v>
      </c>
      <c r="K43" s="13">
        <f t="shared" si="19"/>
        <v>19.108028849379409</v>
      </c>
      <c r="L43" s="13">
        <f t="shared" si="20"/>
        <v>19.108028849379409</v>
      </c>
      <c r="M43" s="13">
        <v>2.2278564885496182</v>
      </c>
      <c r="N43" s="13">
        <f t="shared" si="21"/>
        <v>1348.387453898991</v>
      </c>
    </row>
    <row r="44" spans="1:23" x14ac:dyDescent="0.25">
      <c r="A44" s="87"/>
      <c r="B44" t="s">
        <v>12</v>
      </c>
      <c r="C44" s="13">
        <f t="shared" si="12"/>
        <v>1830.2041314192211</v>
      </c>
      <c r="D44" s="13">
        <f t="shared" si="13"/>
        <v>197.29373632540737</v>
      </c>
      <c r="E44" s="13">
        <f t="shared" si="14"/>
        <v>305.07908380245368</v>
      </c>
      <c r="F44" s="13">
        <f t="shared" si="15"/>
        <v>458.05603121933734</v>
      </c>
      <c r="G44" s="13">
        <f t="shared" si="16"/>
        <v>54.284297619321279</v>
      </c>
      <c r="H44" s="13">
        <f t="shared" si="17"/>
        <v>138.51413258826113</v>
      </c>
      <c r="I44" s="13">
        <f t="shared" si="18"/>
        <v>139.23722538675881</v>
      </c>
      <c r="J44" s="13">
        <f t="shared" si="19"/>
        <v>251.13227359808454</v>
      </c>
      <c r="K44" s="13">
        <f t="shared" si="19"/>
        <v>7.5061849446607694</v>
      </c>
      <c r="L44" s="13">
        <f t="shared" si="20"/>
        <v>7.5061849446607694</v>
      </c>
      <c r="M44" s="13">
        <v>0.42419000000000001</v>
      </c>
      <c r="N44" s="13">
        <f t="shared" si="21"/>
        <v>228.09204227863702</v>
      </c>
    </row>
    <row r="45" spans="1:23" x14ac:dyDescent="0.25">
      <c r="A45" s="87"/>
      <c r="B45" t="s">
        <v>10</v>
      </c>
      <c r="C45" s="13">
        <f t="shared" si="12"/>
        <v>0</v>
      </c>
      <c r="D45" s="13">
        <f t="shared" si="13"/>
        <v>13.632404543540799</v>
      </c>
      <c r="E45" s="13">
        <f t="shared" si="14"/>
        <v>6.5589708487838267</v>
      </c>
      <c r="F45" s="13">
        <f t="shared" si="15"/>
        <v>13.127500671557808</v>
      </c>
      <c r="G45" s="13">
        <f t="shared" si="16"/>
        <v>1.2036750410783981</v>
      </c>
      <c r="H45" s="13">
        <f t="shared" si="17"/>
        <v>2.0126976575944582</v>
      </c>
      <c r="I45" s="13">
        <f t="shared" si="18"/>
        <v>0.90882696956938658</v>
      </c>
      <c r="J45" s="13">
        <f t="shared" si="19"/>
        <v>2.7700006329526548</v>
      </c>
      <c r="K45" s="13">
        <f t="shared" si="19"/>
        <v>0.5912507596431219</v>
      </c>
      <c r="L45" s="13">
        <f t="shared" si="20"/>
        <v>0.5912507596431219</v>
      </c>
      <c r="M45" s="13">
        <v>2.0899999999999998E-3</v>
      </c>
      <c r="N45" s="13">
        <f t="shared" si="21"/>
        <v>8.7452944650451041</v>
      </c>
    </row>
    <row r="46" spans="1:23" x14ac:dyDescent="0.25">
      <c r="A46" s="87"/>
      <c r="B46" t="s">
        <v>8</v>
      </c>
      <c r="C46" s="13">
        <f t="shared" si="12"/>
        <v>378.06244893186971</v>
      </c>
      <c r="D46" s="13">
        <f t="shared" si="13"/>
        <v>139.15264569702916</v>
      </c>
      <c r="E46" s="13">
        <f t="shared" si="14"/>
        <v>520.05594350294507</v>
      </c>
      <c r="F46" s="13">
        <f t="shared" si="15"/>
        <v>325.53425226805001</v>
      </c>
      <c r="G46" s="13">
        <f t="shared" si="16"/>
        <v>70.881419474534169</v>
      </c>
      <c r="H46" s="13">
        <f t="shared" si="17"/>
        <v>112.45454575980391</v>
      </c>
      <c r="I46" s="13">
        <f t="shared" si="18"/>
        <v>82.093917356580661</v>
      </c>
      <c r="J46" s="13">
        <f t="shared" si="19"/>
        <v>237.2804530883588</v>
      </c>
      <c r="K46" s="13">
        <f t="shared" si="19"/>
        <v>1.2789895849445896</v>
      </c>
      <c r="L46" s="13">
        <f t="shared" si="20"/>
        <v>1.2789895849445896</v>
      </c>
      <c r="M46" s="13">
        <v>0.10572460732984292</v>
      </c>
      <c r="N46" s="13">
        <f t="shared" si="21"/>
        <v>228.67942185757678</v>
      </c>
    </row>
    <row r="47" spans="1:23" x14ac:dyDescent="0.25">
      <c r="A47" s="87"/>
      <c r="B47" t="s">
        <v>6</v>
      </c>
      <c r="C47" s="13">
        <f t="shared" si="12"/>
        <v>1901.1521457484866</v>
      </c>
      <c r="D47" s="13">
        <f t="shared" si="13"/>
        <v>445.15154833621625</v>
      </c>
      <c r="E47" s="13">
        <f t="shared" si="14"/>
        <v>470.73071516356305</v>
      </c>
      <c r="F47" s="13">
        <f t="shared" si="15"/>
        <v>3690.0720454186344</v>
      </c>
      <c r="G47" s="13">
        <f t="shared" si="16"/>
        <v>429.19152876002818</v>
      </c>
      <c r="H47" s="13">
        <f t="shared" si="17"/>
        <v>69.21481958752004</v>
      </c>
      <c r="I47" s="13">
        <f t="shared" si="18"/>
        <v>80.049181937652918</v>
      </c>
      <c r="J47" s="13">
        <f t="shared" si="19"/>
        <v>348.28971392175129</v>
      </c>
      <c r="K47" s="13">
        <f t="shared" si="19"/>
        <v>13.429041527262616</v>
      </c>
      <c r="L47" s="13">
        <f t="shared" si="20"/>
        <v>13.429041527262616</v>
      </c>
      <c r="M47" s="13">
        <v>2.424483486238532</v>
      </c>
      <c r="N47" s="13">
        <f t="shared" si="21"/>
        <v>1319.4203987066294</v>
      </c>
    </row>
    <row r="48" spans="1:23" x14ac:dyDescent="0.25">
      <c r="A48" s="86"/>
      <c r="B48" s="1" t="s">
        <v>4</v>
      </c>
      <c r="C48" s="13">
        <f t="shared" si="12"/>
        <v>164.16267922935799</v>
      </c>
      <c r="D48" s="13">
        <f t="shared" si="13"/>
        <v>459.0759745496685</v>
      </c>
      <c r="E48" s="13">
        <f t="shared" si="14"/>
        <v>304.72696721369852</v>
      </c>
      <c r="F48" s="13">
        <f t="shared" si="15"/>
        <v>1235.2456634790053</v>
      </c>
      <c r="G48" s="13">
        <f t="shared" si="16"/>
        <v>232.03771363360184</v>
      </c>
      <c r="H48" s="13">
        <f t="shared" si="17"/>
        <v>66.3266453597614</v>
      </c>
      <c r="I48" s="13">
        <f t="shared" si="18"/>
        <v>79.667823762055889</v>
      </c>
      <c r="J48" s="13">
        <f t="shared" si="19"/>
        <v>45.93542859170109</v>
      </c>
      <c r="K48" s="13">
        <f t="shared" si="19"/>
        <v>12.632209975122516</v>
      </c>
      <c r="L48" s="13">
        <f t="shared" si="20"/>
        <v>12.632209975122516</v>
      </c>
      <c r="M48" s="13">
        <v>2.2312820512820513</v>
      </c>
      <c r="N48" s="13">
        <f t="shared" si="21"/>
        <v>339.64359887360143</v>
      </c>
    </row>
    <row r="49" spans="1:14" x14ac:dyDescent="0.25">
      <c r="A49" s="85"/>
      <c r="B49" s="82" t="s">
        <v>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99000</v>
      </c>
      <c r="L49" s="39">
        <v>99000</v>
      </c>
      <c r="M49" s="39">
        <v>99000</v>
      </c>
      <c r="N49" s="39">
        <v>0</v>
      </c>
    </row>
    <row r="50" spans="1:14" x14ac:dyDescent="0.25">
      <c r="A50" t="s">
        <v>180</v>
      </c>
      <c r="B50" s="1" t="s">
        <v>18</v>
      </c>
      <c r="C50" s="13">
        <f>C32</f>
        <v>452.85673777570935</v>
      </c>
      <c r="D50" s="13">
        <f t="shared" ref="D50:N50" si="22">D32</f>
        <v>52.189515783435844</v>
      </c>
      <c r="E50" s="13">
        <f t="shared" si="22"/>
        <v>202.86934234408594</v>
      </c>
      <c r="F50" s="13">
        <f t="shared" si="22"/>
        <v>71.968541245635251</v>
      </c>
      <c r="G50" s="13">
        <f t="shared" si="22"/>
        <v>10.889416799446606</v>
      </c>
      <c r="H50" s="13">
        <f t="shared" si="22"/>
        <v>12.803552785307556</v>
      </c>
      <c r="I50" s="13">
        <f t="shared" si="22"/>
        <v>18.608304328922813</v>
      </c>
      <c r="J50" s="13">
        <f t="shared" si="22"/>
        <v>62.29854085576649</v>
      </c>
      <c r="K50" s="13">
        <f t="shared" si="22"/>
        <v>1.5807183152339872</v>
      </c>
      <c r="L50" s="13">
        <f t="shared" ref="L50" si="23">L32</f>
        <v>1.5807183152339872</v>
      </c>
      <c r="M50" s="13">
        <f t="shared" si="22"/>
        <v>2.8646835443037973E-2</v>
      </c>
      <c r="N50" s="13">
        <f t="shared" si="22"/>
        <v>99.400553434635682</v>
      </c>
    </row>
    <row r="51" spans="1:14" x14ac:dyDescent="0.25">
      <c r="B51" s="1" t="s">
        <v>16</v>
      </c>
      <c r="C51" s="13">
        <f t="shared" ref="C51:N51" si="24">C33</f>
        <v>0</v>
      </c>
      <c r="D51" s="13">
        <f t="shared" si="24"/>
        <v>2.020290181025743</v>
      </c>
      <c r="E51" s="13">
        <f t="shared" si="24"/>
        <v>1.4849506168333642</v>
      </c>
      <c r="F51" s="13">
        <f t="shared" si="24"/>
        <v>1.217709150207297</v>
      </c>
      <c r="G51" s="13">
        <f t="shared" si="24"/>
        <v>0.3216947314741318</v>
      </c>
      <c r="H51" s="13">
        <f t="shared" si="24"/>
        <v>0.13214829393139019</v>
      </c>
      <c r="I51" s="13">
        <f t="shared" si="24"/>
        <v>0.29058968357219594</v>
      </c>
      <c r="J51" s="13">
        <f t="shared" si="24"/>
        <v>0.31956628090697053</v>
      </c>
      <c r="K51" s="13">
        <f t="shared" si="24"/>
        <v>5.904779452765057E-2</v>
      </c>
      <c r="L51" s="13">
        <f t="shared" ref="L51" si="25">L33</f>
        <v>5.904779452765057E-2</v>
      </c>
      <c r="M51" s="13">
        <f t="shared" si="24"/>
        <v>7.5437499999999995E-4</v>
      </c>
      <c r="N51" s="13">
        <f t="shared" si="24"/>
        <v>1.1782760329221258</v>
      </c>
    </row>
    <row r="52" spans="1:14" x14ac:dyDescent="0.25">
      <c r="B52" t="s">
        <v>14</v>
      </c>
      <c r="C52" s="13">
        <f t="shared" ref="C52:N52" si="26">C34</f>
        <v>4864.0564062430931</v>
      </c>
      <c r="D52" s="13">
        <f t="shared" si="26"/>
        <v>309.88932786554147</v>
      </c>
      <c r="E52" s="13">
        <f t="shared" si="26"/>
        <v>1902.4741191188543</v>
      </c>
      <c r="F52" s="13">
        <f t="shared" si="26"/>
        <v>3991.2716750814966</v>
      </c>
      <c r="G52" s="13">
        <f t="shared" si="26"/>
        <v>432.01901380541017</v>
      </c>
      <c r="H52" s="13">
        <f t="shared" si="26"/>
        <v>583.27690565247383</v>
      </c>
      <c r="I52" s="13">
        <f t="shared" si="26"/>
        <v>102.86782667735817</v>
      </c>
      <c r="J52" s="13">
        <f t="shared" si="26"/>
        <v>4318.3046228631865</v>
      </c>
      <c r="K52" s="13">
        <f t="shared" si="26"/>
        <v>11.170541278024917</v>
      </c>
      <c r="L52" s="13">
        <f t="shared" ref="L52" si="27">L34</f>
        <v>11.170541278024917</v>
      </c>
      <c r="M52" s="13">
        <f t="shared" si="26"/>
        <v>2.2278564885496182</v>
      </c>
      <c r="N52" s="13">
        <f t="shared" si="26"/>
        <v>621.14360232425281</v>
      </c>
    </row>
    <row r="53" spans="1:14" x14ac:dyDescent="0.25">
      <c r="B53" t="s">
        <v>12</v>
      </c>
      <c r="C53" s="13">
        <f t="shared" ref="C53:N53" si="28">C35</f>
        <v>1527.7581433513196</v>
      </c>
      <c r="D53" s="13">
        <f t="shared" si="28"/>
        <v>159.53276910020605</v>
      </c>
      <c r="E53" s="13">
        <f t="shared" si="28"/>
        <v>173.2140123716062</v>
      </c>
      <c r="F53" s="13">
        <f t="shared" si="28"/>
        <v>370.38655369648836</v>
      </c>
      <c r="G53" s="13">
        <f t="shared" si="28"/>
        <v>48.606600263597336</v>
      </c>
      <c r="H53" s="13">
        <f t="shared" si="28"/>
        <v>91.61350597476671</v>
      </c>
      <c r="I53" s="13">
        <f t="shared" si="28"/>
        <v>112.58796422782621</v>
      </c>
      <c r="J53" s="13">
        <f t="shared" si="28"/>
        <v>209.63201287841653</v>
      </c>
      <c r="K53" s="13">
        <f t="shared" si="28"/>
        <v>5.3539574567528296</v>
      </c>
      <c r="L53" s="13">
        <f t="shared" ref="L53" si="29">L35</f>
        <v>5.3539574567528296</v>
      </c>
      <c r="M53" s="13">
        <f t="shared" si="28"/>
        <v>0.42419000000000001</v>
      </c>
      <c r="N53" s="13">
        <f t="shared" si="28"/>
        <v>129.50326630290934</v>
      </c>
    </row>
    <row r="54" spans="1:14" x14ac:dyDescent="0.25">
      <c r="B54" t="s">
        <v>10</v>
      </c>
      <c r="C54" s="13">
        <f t="shared" ref="C54:N54" si="30">C36</f>
        <v>0</v>
      </c>
      <c r="D54" s="13">
        <f t="shared" si="30"/>
        <v>10.70724664949203</v>
      </c>
      <c r="E54" s="13">
        <f t="shared" si="30"/>
        <v>4.5955730095669871</v>
      </c>
      <c r="F54" s="13">
        <f t="shared" si="30"/>
        <v>10.310681958770104</v>
      </c>
      <c r="G54" s="13">
        <f t="shared" si="30"/>
        <v>1.047326310955113</v>
      </c>
      <c r="H54" s="13">
        <f t="shared" si="30"/>
        <v>1.5482952240797943</v>
      </c>
      <c r="I54" s="13">
        <f t="shared" si="30"/>
        <v>0.71381644329946869</v>
      </c>
      <c r="J54" s="13">
        <f t="shared" si="30"/>
        <v>2.4851949023596736</v>
      </c>
      <c r="K54" s="13">
        <f t="shared" si="30"/>
        <v>0.46771965714918468</v>
      </c>
      <c r="L54" s="13">
        <f t="shared" ref="L54" si="31">L36</f>
        <v>0.46771965714918468</v>
      </c>
      <c r="M54" s="13">
        <f t="shared" si="30"/>
        <v>2.0899999999999998E-3</v>
      </c>
      <c r="N54" s="13">
        <f t="shared" si="30"/>
        <v>6.1274306794226501</v>
      </c>
    </row>
    <row r="55" spans="1:14" x14ac:dyDescent="0.25">
      <c r="B55" t="s">
        <v>8</v>
      </c>
      <c r="C55" s="13">
        <f t="shared" ref="C55:N55" si="32">C37</f>
        <v>270.67411329132864</v>
      </c>
      <c r="D55" s="13">
        <f t="shared" si="32"/>
        <v>98.314132529823027</v>
      </c>
      <c r="E55" s="13">
        <f t="shared" si="32"/>
        <v>303.35202542234532</v>
      </c>
      <c r="F55" s="13">
        <f t="shared" si="32"/>
        <v>229.99647229245022</v>
      </c>
      <c r="G55" s="13">
        <f t="shared" si="32"/>
        <v>51.026156356403277</v>
      </c>
      <c r="H55" s="13">
        <f t="shared" si="32"/>
        <v>70.475751550679576</v>
      </c>
      <c r="I55" s="13">
        <f t="shared" si="32"/>
        <v>58.000997612792943</v>
      </c>
      <c r="J55" s="13">
        <f t="shared" si="32"/>
        <v>169.88113054473249</v>
      </c>
      <c r="K55" s="13">
        <f t="shared" si="32"/>
        <v>0.84509188290324433</v>
      </c>
      <c r="L55" s="13">
        <f t="shared" ref="L55" si="33">L37</f>
        <v>0.84509188290324433</v>
      </c>
      <c r="M55" s="13">
        <f t="shared" si="32"/>
        <v>0.10572460732984292</v>
      </c>
      <c r="N55" s="13">
        <f t="shared" si="32"/>
        <v>133.39019899599327</v>
      </c>
    </row>
    <row r="56" spans="1:14" x14ac:dyDescent="0.25">
      <c r="B56" t="s">
        <v>6</v>
      </c>
      <c r="C56" s="13">
        <f t="shared" ref="C56:N56" si="34">C38</f>
        <v>1306.3115813153215</v>
      </c>
      <c r="D56" s="13">
        <f t="shared" si="34"/>
        <v>283.91853263374514</v>
      </c>
      <c r="E56" s="13">
        <f t="shared" si="34"/>
        <v>227.31143994460564</v>
      </c>
      <c r="F56" s="13">
        <f t="shared" si="34"/>
        <v>2353.5352047270976</v>
      </c>
      <c r="G56" s="13">
        <f t="shared" si="34"/>
        <v>294.10702547881101</v>
      </c>
      <c r="H56" s="13">
        <f t="shared" si="34"/>
        <v>40.002280136173859</v>
      </c>
      <c r="I56" s="13">
        <f t="shared" si="34"/>
        <v>51.055525605191008</v>
      </c>
      <c r="J56" s="13">
        <f t="shared" si="34"/>
        <v>239.31534778341452</v>
      </c>
      <c r="K56" s="13">
        <f t="shared" si="34"/>
        <v>7.9532079905392834</v>
      </c>
      <c r="L56" s="13">
        <f t="shared" ref="L56" si="35">L38</f>
        <v>7.9532079905392834</v>
      </c>
      <c r="M56" s="13">
        <f t="shared" si="34"/>
        <v>2.424483486238532</v>
      </c>
      <c r="N56" s="13">
        <f t="shared" si="34"/>
        <v>637.13571488123034</v>
      </c>
    </row>
    <row r="57" spans="1:14" x14ac:dyDescent="0.25">
      <c r="A57" s="1"/>
      <c r="B57" s="1" t="s">
        <v>4</v>
      </c>
      <c r="C57" s="13">
        <f t="shared" ref="C57:N57" si="36">C39</f>
        <v>163.82021347283825</v>
      </c>
      <c r="D57" s="13">
        <f t="shared" si="36"/>
        <v>415.95097668778948</v>
      </c>
      <c r="E57" s="13">
        <f t="shared" si="36"/>
        <v>179.96620778878477</v>
      </c>
      <c r="F57" s="13">
        <f t="shared" si="36"/>
        <v>1119.2082980980729</v>
      </c>
      <c r="G57" s="13">
        <f t="shared" si="36"/>
        <v>221.99367695995394</v>
      </c>
      <c r="H57" s="13">
        <f t="shared" si="36"/>
        <v>53.587082469358563</v>
      </c>
      <c r="I57" s="13">
        <f t="shared" si="36"/>
        <v>72.183932380527054</v>
      </c>
      <c r="J57" s="13">
        <f t="shared" si="36"/>
        <v>45.83960101762905</v>
      </c>
      <c r="K57" s="13">
        <f t="shared" si="36"/>
        <v>10.179488935179508</v>
      </c>
      <c r="L57" s="13">
        <f t="shared" ref="L57" si="37">L39</f>
        <v>10.179488935179508</v>
      </c>
      <c r="M57" s="13">
        <f t="shared" si="36"/>
        <v>2.2312820512820513</v>
      </c>
      <c r="N57" s="13">
        <f t="shared" si="36"/>
        <v>200.58733576458297</v>
      </c>
    </row>
    <row r="58" spans="1:14" x14ac:dyDescent="0.25">
      <c r="A58" s="37"/>
      <c r="B58" s="82" t="s">
        <v>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99000</v>
      </c>
      <c r="L58" s="39">
        <v>99000</v>
      </c>
      <c r="M58" s="39">
        <v>99000</v>
      </c>
      <c r="N58" s="39">
        <v>0</v>
      </c>
    </row>
    <row r="59" spans="1:14" x14ac:dyDescent="0.25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spans="1:14" x14ac:dyDescent="0.25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</sheetData>
  <hyperlinks>
    <hyperlink ref="A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zoomScale="85" zoomScaleNormal="85" workbookViewId="0">
      <selection activeCell="A9" sqref="A9"/>
    </sheetView>
  </sheetViews>
  <sheetFormatPr defaultRowHeight="11.5" x14ac:dyDescent="0.25"/>
  <cols>
    <col min="1" max="1" width="16.90625" customWidth="1"/>
  </cols>
  <sheetData>
    <row r="1" spans="1:18" ht="19.5" x14ac:dyDescent="0.35">
      <c r="A1" s="101" t="s">
        <v>186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25">
      <c r="A2" s="89" t="s">
        <v>177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  <c r="R4" s="23"/>
    </row>
    <row r="5" spans="1:18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  <c r="R5" s="23"/>
    </row>
    <row r="6" spans="1:18" x14ac:dyDescent="0.25">
      <c r="A6" s="2"/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  <c r="R6" s="23"/>
    </row>
    <row r="7" spans="1:18" x14ac:dyDescent="0.25">
      <c r="A7" s="66" t="s">
        <v>315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  <c r="R7" s="23"/>
    </row>
    <row r="8" spans="1:18" x14ac:dyDescent="0.25">
      <c r="A8" s="2" t="s">
        <v>332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  <c r="R8" s="23"/>
    </row>
    <row r="9" spans="1:18" x14ac:dyDescent="0.25">
      <c r="A9" s="2"/>
      <c r="B9" s="2"/>
      <c r="C9" s="2"/>
      <c r="D9" s="2"/>
      <c r="E9" s="92"/>
      <c r="F9" s="93"/>
      <c r="G9" s="2"/>
      <c r="H9" s="52"/>
      <c r="I9" s="52"/>
      <c r="J9" s="52"/>
      <c r="K9" s="52"/>
      <c r="L9" s="2"/>
      <c r="M9" s="92"/>
      <c r="R9" s="23"/>
    </row>
    <row r="10" spans="1:18" x14ac:dyDescent="0.25">
      <c r="A10" s="2"/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  <c r="R10" s="23"/>
    </row>
    <row r="11" spans="1:18" x14ac:dyDescent="0.25">
      <c r="A11" s="2"/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  <c r="R11" s="23"/>
    </row>
    <row r="12" spans="1:18" x14ac:dyDescent="0.25">
      <c r="A12" s="2"/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  <c r="R12" s="23"/>
    </row>
    <row r="13" spans="1:18" x14ac:dyDescent="0.25">
      <c r="A13" s="2"/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  <c r="R13" s="23"/>
    </row>
    <row r="14" spans="1:18" x14ac:dyDescent="0.25">
      <c r="A14" s="2"/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  <c r="R14" s="23"/>
    </row>
    <row r="15" spans="1:18" x14ac:dyDescent="0.25">
      <c r="A15" s="2"/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  <c r="R15" s="23"/>
    </row>
    <row r="16" spans="1:18" x14ac:dyDescent="0.25">
      <c r="A16" s="2"/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  <c r="R16" s="23"/>
    </row>
    <row r="17" spans="1:21" x14ac:dyDescent="0.25">
      <c r="A17" s="2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  <c r="R17" s="23"/>
    </row>
    <row r="18" spans="1:21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  <c r="R18" s="23"/>
    </row>
    <row r="19" spans="1:21" x14ac:dyDescent="0.25">
      <c r="A19" s="88"/>
      <c r="B19" s="23"/>
      <c r="C19" s="23"/>
      <c r="D19" s="23"/>
      <c r="E19" s="23"/>
      <c r="F19" s="23"/>
      <c r="G19" s="23"/>
      <c r="H19" s="23"/>
      <c r="I19" s="23"/>
      <c r="J19" s="23"/>
      <c r="K19" s="23"/>
      <c r="P19" s="23"/>
      <c r="Q19" s="23"/>
      <c r="R19" s="23"/>
    </row>
    <row r="20" spans="1:21" x14ac:dyDescent="0.25">
      <c r="A20" s="75"/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3"/>
      <c r="O20" s="23"/>
      <c r="P20" s="2"/>
      <c r="Q20" s="2"/>
      <c r="R20" s="2"/>
      <c r="S20" s="1"/>
      <c r="T20" s="1"/>
      <c r="U20" s="1"/>
    </row>
    <row r="21" spans="1:21" ht="14.5" x14ac:dyDescent="0.25">
      <c r="A21" s="75"/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2"/>
      <c r="O21" s="2"/>
      <c r="P21" s="103"/>
      <c r="Q21" s="103"/>
      <c r="R21" s="103"/>
      <c r="S21" s="103"/>
      <c r="T21" s="103"/>
      <c r="U21" s="1"/>
    </row>
    <row r="22" spans="1:21" ht="12" thickBot="1" x14ac:dyDescent="0.3">
      <c r="A22" s="46" t="s">
        <v>21</v>
      </c>
      <c r="B22" s="22" t="s">
        <v>122</v>
      </c>
      <c r="C22" s="22" t="s">
        <v>121</v>
      </c>
      <c r="D22" s="22" t="s">
        <v>120</v>
      </c>
      <c r="E22" s="22" t="s">
        <v>119</v>
      </c>
      <c r="F22" s="22" t="s">
        <v>118</v>
      </c>
      <c r="G22" s="22" t="s">
        <v>117</v>
      </c>
      <c r="H22" s="22" t="s">
        <v>116</v>
      </c>
      <c r="I22" s="22" t="s">
        <v>115</v>
      </c>
      <c r="J22" s="22" t="s">
        <v>114</v>
      </c>
      <c r="K22" s="22" t="s">
        <v>300</v>
      </c>
      <c r="L22" s="22" t="s">
        <v>113</v>
      </c>
      <c r="M22" s="22" t="s">
        <v>112</v>
      </c>
      <c r="N22" s="23"/>
      <c r="O22" s="23"/>
      <c r="P22" s="102"/>
      <c r="Q22" s="102"/>
      <c r="R22" s="102"/>
      <c r="S22" s="102"/>
      <c r="T22" s="102"/>
      <c r="U22" s="1"/>
    </row>
    <row r="23" spans="1:21" x14ac:dyDescent="0.25">
      <c r="A23" s="1" t="s">
        <v>18</v>
      </c>
      <c r="B23" s="122">
        <f>-0.2</f>
        <v>-0.2</v>
      </c>
      <c r="C23" s="122">
        <f t="shared" ref="C23:M30" si="0">-0.2</f>
        <v>-0.2</v>
      </c>
      <c r="D23" s="122">
        <f t="shared" si="0"/>
        <v>-0.2</v>
      </c>
      <c r="E23" s="122">
        <f t="shared" si="0"/>
        <v>-0.2</v>
      </c>
      <c r="F23" s="122">
        <f t="shared" si="0"/>
        <v>-0.2</v>
      </c>
      <c r="G23" s="122">
        <f t="shared" si="0"/>
        <v>-0.2</v>
      </c>
      <c r="H23" s="122">
        <f t="shared" si="0"/>
        <v>-0.2</v>
      </c>
      <c r="I23" s="122">
        <f t="shared" si="0"/>
        <v>-0.2</v>
      </c>
      <c r="J23" s="122">
        <f t="shared" si="0"/>
        <v>-0.2</v>
      </c>
      <c r="K23" s="122">
        <f t="shared" si="0"/>
        <v>-0.2</v>
      </c>
      <c r="L23" s="122">
        <f t="shared" si="0"/>
        <v>-0.2</v>
      </c>
      <c r="M23" s="122">
        <f t="shared" si="0"/>
        <v>-0.2</v>
      </c>
      <c r="N23" s="23"/>
      <c r="O23" s="23"/>
      <c r="P23" s="102"/>
      <c r="Q23" s="102"/>
      <c r="R23" s="102"/>
      <c r="S23" s="102"/>
      <c r="T23" s="102"/>
      <c r="U23" s="1"/>
    </row>
    <row r="24" spans="1:21" x14ac:dyDescent="0.25">
      <c r="A24" s="1" t="s">
        <v>16</v>
      </c>
      <c r="B24" s="122">
        <f t="shared" ref="B24:B30" si="1">-0.2</f>
        <v>-0.2</v>
      </c>
      <c r="C24" s="122">
        <f t="shared" si="0"/>
        <v>-0.2</v>
      </c>
      <c r="D24" s="122">
        <f t="shared" si="0"/>
        <v>-0.2</v>
      </c>
      <c r="E24" s="122">
        <f t="shared" si="0"/>
        <v>-0.2</v>
      </c>
      <c r="F24" s="122">
        <f t="shared" si="0"/>
        <v>-0.2</v>
      </c>
      <c r="G24" s="122">
        <f t="shared" si="0"/>
        <v>-0.2</v>
      </c>
      <c r="H24" s="122">
        <f t="shared" si="0"/>
        <v>-0.2</v>
      </c>
      <c r="I24" s="122">
        <f t="shared" si="0"/>
        <v>-0.2</v>
      </c>
      <c r="J24" s="122">
        <f t="shared" si="0"/>
        <v>-0.2</v>
      </c>
      <c r="K24" s="122">
        <f t="shared" si="0"/>
        <v>-0.2</v>
      </c>
      <c r="L24" s="122">
        <f t="shared" si="0"/>
        <v>-0.2</v>
      </c>
      <c r="M24" s="122">
        <f t="shared" si="0"/>
        <v>-0.2</v>
      </c>
      <c r="N24" s="23"/>
      <c r="O24" s="23"/>
      <c r="P24" s="102"/>
      <c r="Q24" s="102"/>
      <c r="R24" s="102"/>
      <c r="S24" s="102"/>
      <c r="T24" s="102"/>
      <c r="U24" s="1"/>
    </row>
    <row r="25" spans="1:21" x14ac:dyDescent="0.25">
      <c r="A25" t="s">
        <v>14</v>
      </c>
      <c r="B25" s="122">
        <f t="shared" si="1"/>
        <v>-0.2</v>
      </c>
      <c r="C25" s="122">
        <f t="shared" si="0"/>
        <v>-0.2</v>
      </c>
      <c r="D25" s="122">
        <f t="shared" si="0"/>
        <v>-0.2</v>
      </c>
      <c r="E25" s="122">
        <f t="shared" si="0"/>
        <v>-0.2</v>
      </c>
      <c r="F25" s="122">
        <f t="shared" si="0"/>
        <v>-0.2</v>
      </c>
      <c r="G25" s="122">
        <f t="shared" si="0"/>
        <v>-0.2</v>
      </c>
      <c r="H25" s="122">
        <f t="shared" si="0"/>
        <v>-0.2</v>
      </c>
      <c r="I25" s="122">
        <f t="shared" si="0"/>
        <v>-0.2</v>
      </c>
      <c r="J25" s="122">
        <f t="shared" si="0"/>
        <v>-0.2</v>
      </c>
      <c r="K25" s="122">
        <f t="shared" si="0"/>
        <v>-0.2</v>
      </c>
      <c r="L25" s="122">
        <f t="shared" si="0"/>
        <v>-0.2</v>
      </c>
      <c r="M25" s="122">
        <f t="shared" si="0"/>
        <v>-0.2</v>
      </c>
      <c r="N25" s="23"/>
      <c r="O25" s="23"/>
      <c r="P25" s="102"/>
      <c r="Q25" s="102"/>
      <c r="R25" s="102"/>
      <c r="S25" s="102"/>
      <c r="T25" s="102"/>
      <c r="U25" s="1"/>
    </row>
    <row r="26" spans="1:21" x14ac:dyDescent="0.25">
      <c r="A26" t="s">
        <v>12</v>
      </c>
      <c r="B26" s="122">
        <f t="shared" si="1"/>
        <v>-0.2</v>
      </c>
      <c r="C26" s="122">
        <f t="shared" si="0"/>
        <v>-0.2</v>
      </c>
      <c r="D26" s="122">
        <f t="shared" si="0"/>
        <v>-0.2</v>
      </c>
      <c r="E26" s="122">
        <f t="shared" si="0"/>
        <v>-0.2</v>
      </c>
      <c r="F26" s="122">
        <f t="shared" si="0"/>
        <v>-0.2</v>
      </c>
      <c r="G26" s="122">
        <f t="shared" si="0"/>
        <v>-0.2</v>
      </c>
      <c r="H26" s="122">
        <f t="shared" si="0"/>
        <v>-0.2</v>
      </c>
      <c r="I26" s="122">
        <f t="shared" si="0"/>
        <v>-0.2</v>
      </c>
      <c r="J26" s="122">
        <f t="shared" si="0"/>
        <v>-0.2</v>
      </c>
      <c r="K26" s="122">
        <f t="shared" si="0"/>
        <v>-0.2</v>
      </c>
      <c r="L26" s="122">
        <f t="shared" si="0"/>
        <v>-0.2</v>
      </c>
      <c r="M26" s="122">
        <f t="shared" si="0"/>
        <v>-0.2</v>
      </c>
      <c r="N26" s="23"/>
      <c r="O26" s="23"/>
      <c r="P26" s="102"/>
      <c r="Q26" s="102"/>
      <c r="R26" s="102"/>
      <c r="S26" s="102"/>
      <c r="T26" s="102"/>
      <c r="U26" s="1"/>
    </row>
    <row r="27" spans="1:21" x14ac:dyDescent="0.25">
      <c r="A27" t="s">
        <v>10</v>
      </c>
      <c r="B27" s="122">
        <f t="shared" si="1"/>
        <v>-0.2</v>
      </c>
      <c r="C27" s="122">
        <f t="shared" si="0"/>
        <v>-0.2</v>
      </c>
      <c r="D27" s="122">
        <f t="shared" si="0"/>
        <v>-0.2</v>
      </c>
      <c r="E27" s="122">
        <f t="shared" si="0"/>
        <v>-0.2</v>
      </c>
      <c r="F27" s="122">
        <f t="shared" si="0"/>
        <v>-0.2</v>
      </c>
      <c r="G27" s="122">
        <f t="shared" si="0"/>
        <v>-0.2</v>
      </c>
      <c r="H27" s="122">
        <f t="shared" si="0"/>
        <v>-0.2</v>
      </c>
      <c r="I27" s="122">
        <f t="shared" si="0"/>
        <v>-0.2</v>
      </c>
      <c r="J27" s="122">
        <f t="shared" si="0"/>
        <v>-0.2</v>
      </c>
      <c r="K27" s="122">
        <f t="shared" si="0"/>
        <v>-0.2</v>
      </c>
      <c r="L27" s="122">
        <f t="shared" si="0"/>
        <v>-0.2</v>
      </c>
      <c r="M27" s="122">
        <f t="shared" si="0"/>
        <v>-0.2</v>
      </c>
      <c r="N27" s="23"/>
      <c r="O27" s="23"/>
      <c r="P27" s="102"/>
      <c r="Q27" s="102"/>
      <c r="R27" s="102"/>
      <c r="S27" s="102"/>
      <c r="T27" s="102"/>
      <c r="U27" s="1"/>
    </row>
    <row r="28" spans="1:21" x14ac:dyDescent="0.25">
      <c r="A28" t="s">
        <v>8</v>
      </c>
      <c r="B28" s="122">
        <f t="shared" si="1"/>
        <v>-0.2</v>
      </c>
      <c r="C28" s="122">
        <f t="shared" si="0"/>
        <v>-0.2</v>
      </c>
      <c r="D28" s="122">
        <f t="shared" si="0"/>
        <v>-0.2</v>
      </c>
      <c r="E28" s="122">
        <f t="shared" si="0"/>
        <v>-0.2</v>
      </c>
      <c r="F28" s="122">
        <f t="shared" si="0"/>
        <v>-0.2</v>
      </c>
      <c r="G28" s="122">
        <f t="shared" si="0"/>
        <v>-0.2</v>
      </c>
      <c r="H28" s="122">
        <f t="shared" si="0"/>
        <v>-0.2</v>
      </c>
      <c r="I28" s="122">
        <f t="shared" si="0"/>
        <v>-0.2</v>
      </c>
      <c r="J28" s="122">
        <f t="shared" si="0"/>
        <v>-0.2</v>
      </c>
      <c r="K28" s="122">
        <f t="shared" si="0"/>
        <v>-0.2</v>
      </c>
      <c r="L28" s="122">
        <f t="shared" si="0"/>
        <v>-0.2</v>
      </c>
      <c r="M28" s="122">
        <f t="shared" si="0"/>
        <v>-0.2</v>
      </c>
      <c r="N28" s="23"/>
      <c r="O28" s="23"/>
      <c r="P28" s="102"/>
      <c r="Q28" s="102"/>
      <c r="R28" s="102"/>
      <c r="S28" s="102"/>
      <c r="T28" s="102"/>
      <c r="U28" s="1"/>
    </row>
    <row r="29" spans="1:21" x14ac:dyDescent="0.25">
      <c r="A29" t="s">
        <v>6</v>
      </c>
      <c r="B29" s="122">
        <f t="shared" si="1"/>
        <v>-0.2</v>
      </c>
      <c r="C29" s="122">
        <f t="shared" si="0"/>
        <v>-0.2</v>
      </c>
      <c r="D29" s="122">
        <f t="shared" si="0"/>
        <v>-0.2</v>
      </c>
      <c r="E29" s="122">
        <f t="shared" si="0"/>
        <v>-0.2</v>
      </c>
      <c r="F29" s="122">
        <f t="shared" si="0"/>
        <v>-0.2</v>
      </c>
      <c r="G29" s="122">
        <f t="shared" si="0"/>
        <v>-0.2</v>
      </c>
      <c r="H29" s="122">
        <f t="shared" si="0"/>
        <v>-0.2</v>
      </c>
      <c r="I29" s="122">
        <f t="shared" si="0"/>
        <v>-0.2</v>
      </c>
      <c r="J29" s="122">
        <f t="shared" si="0"/>
        <v>-0.2</v>
      </c>
      <c r="K29" s="122">
        <f t="shared" si="0"/>
        <v>-0.2</v>
      </c>
      <c r="L29" s="122">
        <f t="shared" si="0"/>
        <v>-0.2</v>
      </c>
      <c r="M29" s="122">
        <f t="shared" si="0"/>
        <v>-0.2</v>
      </c>
      <c r="N29" s="23"/>
      <c r="O29" s="23"/>
      <c r="P29" s="102"/>
      <c r="Q29" s="102"/>
      <c r="R29" s="102"/>
      <c r="S29" s="102"/>
      <c r="T29" s="102"/>
      <c r="U29" s="1"/>
    </row>
    <row r="30" spans="1:21" x14ac:dyDescent="0.25">
      <c r="A30" s="1" t="s">
        <v>4</v>
      </c>
      <c r="B30" s="122">
        <f t="shared" si="1"/>
        <v>-0.2</v>
      </c>
      <c r="C30" s="122">
        <f t="shared" si="0"/>
        <v>-0.2</v>
      </c>
      <c r="D30" s="122">
        <f t="shared" si="0"/>
        <v>-0.2</v>
      </c>
      <c r="E30" s="122">
        <f t="shared" si="0"/>
        <v>-0.2</v>
      </c>
      <c r="F30" s="122">
        <f t="shared" si="0"/>
        <v>-0.2</v>
      </c>
      <c r="G30" s="122">
        <f t="shared" si="0"/>
        <v>-0.2</v>
      </c>
      <c r="H30" s="122">
        <f t="shared" si="0"/>
        <v>-0.2</v>
      </c>
      <c r="I30" s="122">
        <f t="shared" si="0"/>
        <v>-0.2</v>
      </c>
      <c r="J30" s="122">
        <f t="shared" si="0"/>
        <v>-0.2</v>
      </c>
      <c r="K30" s="122">
        <f t="shared" si="0"/>
        <v>-0.2</v>
      </c>
      <c r="L30" s="122">
        <f t="shared" si="0"/>
        <v>-0.2</v>
      </c>
      <c r="M30" s="122">
        <f t="shared" si="0"/>
        <v>-0.2</v>
      </c>
      <c r="N30" s="23"/>
      <c r="O30" s="23"/>
      <c r="P30" s="102"/>
      <c r="Q30" s="102"/>
      <c r="R30" s="102"/>
      <c r="S30" s="102"/>
      <c r="T30" s="102"/>
      <c r="U30" s="1"/>
    </row>
    <row r="31" spans="1:21" x14ac:dyDescent="0.25">
      <c r="A31" s="82" t="s">
        <v>2</v>
      </c>
      <c r="B31" s="123">
        <v>-0.2</v>
      </c>
      <c r="C31" s="123">
        <v>-0.2</v>
      </c>
      <c r="D31" s="123">
        <v>-0.2</v>
      </c>
      <c r="E31" s="123">
        <v>-0.2</v>
      </c>
      <c r="F31" s="123">
        <v>-0.2</v>
      </c>
      <c r="G31" s="123">
        <v>-0.2</v>
      </c>
      <c r="H31" s="123">
        <v>-0.2</v>
      </c>
      <c r="I31" s="123">
        <v>-0.2</v>
      </c>
      <c r="J31" s="123">
        <v>-0.2</v>
      </c>
      <c r="K31" s="123">
        <v>-0.2</v>
      </c>
      <c r="L31" s="123">
        <v>-0.2</v>
      </c>
      <c r="M31" s="123">
        <v>-0.2</v>
      </c>
      <c r="N31" s="23"/>
      <c r="O31" s="23"/>
      <c r="P31" s="102"/>
      <c r="Q31" s="102"/>
      <c r="R31" s="102"/>
      <c r="S31" s="102"/>
      <c r="T31" s="102"/>
      <c r="U31" s="1"/>
    </row>
    <row r="32" spans="1:21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</row>
    <row r="35" spans="5:21" x14ac:dyDescent="0.25">
      <c r="E35" s="1"/>
      <c r="F35" s="1"/>
      <c r="G35" s="1"/>
      <c r="H35" s="1"/>
      <c r="I35" s="1"/>
    </row>
    <row r="36" spans="5:21" x14ac:dyDescent="0.25">
      <c r="E36" s="1"/>
      <c r="F36" s="1"/>
      <c r="G36" s="1"/>
      <c r="H36" s="1"/>
      <c r="I36" s="1"/>
    </row>
    <row r="37" spans="5:21" x14ac:dyDescent="0.25">
      <c r="E37" s="1"/>
      <c r="F37" s="1"/>
      <c r="G37" s="1"/>
      <c r="H37" s="1"/>
      <c r="I37" s="1"/>
    </row>
    <row r="38" spans="5:21" x14ac:dyDescent="0.25">
      <c r="E38" s="1"/>
      <c r="F38" s="1"/>
      <c r="G38" s="1"/>
      <c r="H38" s="1"/>
      <c r="I38" s="1"/>
    </row>
    <row r="39" spans="5:21" x14ac:dyDescent="0.25">
      <c r="E39" s="1"/>
      <c r="F39" s="1"/>
      <c r="G39" s="1"/>
      <c r="H39" s="1"/>
      <c r="I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showGridLines="0" topLeftCell="A13" zoomScale="85" zoomScaleNormal="85" workbookViewId="0">
      <selection activeCell="O39" sqref="O39"/>
    </sheetView>
  </sheetViews>
  <sheetFormatPr defaultRowHeight="11.5" x14ac:dyDescent="0.25"/>
  <cols>
    <col min="1" max="1" width="10.36328125" customWidth="1"/>
    <col min="2" max="2" width="14.90625" customWidth="1"/>
  </cols>
  <sheetData>
    <row r="1" spans="1:20" ht="19.5" x14ac:dyDescent="0.35">
      <c r="A1" s="101" t="s">
        <v>187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89" t="s">
        <v>317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89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8"/>
      <c r="N4" s="97"/>
      <c r="T4" s="23"/>
    </row>
    <row r="5" spans="1:20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2"/>
      <c r="N5" s="92"/>
      <c r="T5" s="23"/>
    </row>
    <row r="6" spans="1:20" x14ac:dyDescent="0.25">
      <c r="A6" s="2" t="s">
        <v>318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2"/>
      <c r="N6" s="92"/>
      <c r="T6" s="23"/>
    </row>
    <row r="7" spans="1:20" x14ac:dyDescent="0.25">
      <c r="A7" s="2" t="s">
        <v>319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2"/>
      <c r="N7" s="92"/>
      <c r="T7" s="23"/>
    </row>
    <row r="8" spans="1:20" x14ac:dyDescent="0.25">
      <c r="A8" s="2" t="s">
        <v>320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2"/>
      <c r="N8" s="92"/>
      <c r="T8" s="23"/>
    </row>
    <row r="9" spans="1:20" x14ac:dyDescent="0.25">
      <c r="A9" s="2"/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2"/>
      <c r="N9" s="92"/>
      <c r="T9" s="23"/>
    </row>
    <row r="10" spans="1:20" x14ac:dyDescent="0.25">
      <c r="A10" s="23"/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2"/>
      <c r="N10" s="92"/>
      <c r="T10" s="23"/>
    </row>
    <row r="11" spans="1:20" x14ac:dyDescent="0.25">
      <c r="A11" s="2"/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2"/>
      <c r="N11" s="92"/>
      <c r="T11" s="23"/>
    </row>
    <row r="12" spans="1:20" x14ac:dyDescent="0.25">
      <c r="A12" s="2"/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2"/>
      <c r="N12" s="92"/>
      <c r="T12" s="23"/>
    </row>
    <row r="13" spans="1:20" x14ac:dyDescent="0.25">
      <c r="A13" s="2"/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2"/>
      <c r="N13" s="92"/>
      <c r="T13" s="23"/>
    </row>
    <row r="14" spans="1:20" x14ac:dyDescent="0.25">
      <c r="A14" s="2"/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2"/>
      <c r="N14" s="92"/>
      <c r="T14" s="23"/>
    </row>
    <row r="15" spans="1:20" x14ac:dyDescent="0.25">
      <c r="A15" s="2"/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2"/>
      <c r="N15" s="92"/>
      <c r="T15" s="23"/>
    </row>
    <row r="16" spans="1:20" x14ac:dyDescent="0.25">
      <c r="A16" s="2"/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2"/>
      <c r="N16" s="92"/>
      <c r="T16" s="23"/>
    </row>
    <row r="17" spans="1:28" x14ac:dyDescent="0.25">
      <c r="A17" s="2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2"/>
      <c r="N17" s="92"/>
      <c r="T17" s="23"/>
    </row>
    <row r="18" spans="1:28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82"/>
      <c r="N18" s="90"/>
      <c r="T18" s="23"/>
    </row>
    <row r="19" spans="1:28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8" x14ac:dyDescent="0.25">
      <c r="A20" s="149" t="s">
        <v>313</v>
      </c>
      <c r="B20" s="75"/>
      <c r="C20" s="23"/>
      <c r="D20" s="74"/>
      <c r="E20" s="74"/>
      <c r="F20" s="74"/>
      <c r="G20" s="7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8" x14ac:dyDescent="0.25">
      <c r="B21" s="75" t="s">
        <v>357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8" ht="12" thickBot="1" x14ac:dyDescent="0.3">
      <c r="A22" s="67" t="s">
        <v>263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23"/>
      <c r="Q22" s="23"/>
      <c r="R22" s="23"/>
      <c r="S22" s="23"/>
      <c r="T22" s="23"/>
    </row>
    <row r="23" spans="1:28" x14ac:dyDescent="0.25">
      <c r="A23" s="62" t="s">
        <v>150</v>
      </c>
      <c r="B23" s="1" t="s">
        <v>18</v>
      </c>
      <c r="C23" s="13">
        <v>407.69746835443038</v>
      </c>
      <c r="D23" s="13">
        <v>28.412025316455697</v>
      </c>
      <c r="E23" s="13">
        <v>0</v>
      </c>
      <c r="F23" s="13">
        <v>39.179746835443034</v>
      </c>
      <c r="G23" s="13">
        <v>0</v>
      </c>
      <c r="H23" s="13">
        <v>7.4468354430379744</v>
      </c>
      <c r="I23" s="13">
        <v>10.130379746835443</v>
      </c>
      <c r="J23" s="13">
        <v>56.086075949367086</v>
      </c>
      <c r="K23" s="13">
        <v>0</v>
      </c>
      <c r="L23" s="13">
        <v>0</v>
      </c>
      <c r="M23" s="13">
        <v>0</v>
      </c>
      <c r="N23" s="13">
        <v>0</v>
      </c>
      <c r="O23" s="23"/>
      <c r="Q23" s="2"/>
      <c r="R23" s="43"/>
      <c r="S23" s="2"/>
      <c r="T23" s="43"/>
      <c r="U23" s="2"/>
      <c r="V23" s="2"/>
      <c r="W23" s="2"/>
      <c r="X23" s="43"/>
      <c r="Y23" s="43"/>
      <c r="Z23" s="43"/>
      <c r="AA23" s="43"/>
      <c r="AB23" s="2"/>
    </row>
    <row r="24" spans="1:28" x14ac:dyDescent="0.25">
      <c r="A24" s="62"/>
      <c r="B24" s="1" t="s">
        <v>16</v>
      </c>
      <c r="C24" s="13">
        <v>0</v>
      </c>
      <c r="D24" s="13">
        <v>1.55125</v>
      </c>
      <c r="E24" s="13">
        <v>0</v>
      </c>
      <c r="F24" s="13">
        <v>0.93499999999999994</v>
      </c>
      <c r="G24" s="13">
        <v>0</v>
      </c>
      <c r="H24" s="13">
        <v>9.5624999999999988E-2</v>
      </c>
      <c r="I24" s="13">
        <v>0.22312500000000005</v>
      </c>
      <c r="J24" s="13">
        <v>0.23374999999999999</v>
      </c>
      <c r="K24" s="13">
        <v>0</v>
      </c>
      <c r="L24" s="13">
        <v>0</v>
      </c>
      <c r="M24" s="13">
        <v>0</v>
      </c>
      <c r="N24" s="13">
        <v>0</v>
      </c>
      <c r="O24" s="23"/>
      <c r="Q24" s="2"/>
      <c r="R24" s="43"/>
      <c r="S24" s="2"/>
      <c r="T24" s="43"/>
      <c r="U24" s="2"/>
      <c r="V24" s="2"/>
      <c r="W24" s="2"/>
      <c r="X24" s="43"/>
      <c r="Y24" s="43"/>
      <c r="Z24" s="43"/>
      <c r="AA24" s="43"/>
      <c r="AB24" s="2"/>
    </row>
    <row r="25" spans="1:28" x14ac:dyDescent="0.25">
      <c r="A25" s="62"/>
      <c r="B25" t="s">
        <v>14</v>
      </c>
      <c r="C25" s="13">
        <v>3280.1832061068699</v>
      </c>
      <c r="D25" s="13">
        <v>189.12061068702292</v>
      </c>
      <c r="E25" s="13">
        <v>0</v>
      </c>
      <c r="F25" s="13">
        <v>2435.8106870229008</v>
      </c>
      <c r="G25" s="13">
        <v>0</v>
      </c>
      <c r="H25" s="13">
        <v>323.30992366412215</v>
      </c>
      <c r="I25" s="13">
        <v>62.778625954198475</v>
      </c>
      <c r="J25" s="13">
        <v>2912.1435114503815</v>
      </c>
      <c r="K25" s="13">
        <v>0</v>
      </c>
      <c r="L25" s="13">
        <v>0</v>
      </c>
      <c r="M25" s="13">
        <v>0</v>
      </c>
      <c r="N25" s="13">
        <v>0</v>
      </c>
      <c r="O25" s="23"/>
      <c r="Q25" s="2"/>
      <c r="R25" s="43"/>
      <c r="S25" s="2"/>
      <c r="T25" s="43"/>
      <c r="U25" s="2"/>
      <c r="V25" s="2"/>
      <c r="W25" s="2"/>
      <c r="X25" s="43"/>
      <c r="Y25" s="43"/>
      <c r="Z25" s="43"/>
      <c r="AA25" s="43"/>
      <c r="AB25" s="2"/>
    </row>
    <row r="26" spans="1:28" x14ac:dyDescent="0.25">
      <c r="A26" s="62"/>
      <c r="B26" t="s">
        <v>12</v>
      </c>
      <c r="C26" s="13">
        <v>1033.6300000000001</v>
      </c>
      <c r="D26" s="13">
        <v>104.26</v>
      </c>
      <c r="E26" s="13">
        <v>0</v>
      </c>
      <c r="F26" s="13">
        <v>242.06000000000003</v>
      </c>
      <c r="G26" s="13">
        <v>0</v>
      </c>
      <c r="H26" s="13">
        <v>51.74</v>
      </c>
      <c r="I26" s="13">
        <v>73.58</v>
      </c>
      <c r="J26" s="13">
        <v>141.83000000000001</v>
      </c>
      <c r="K26" s="13">
        <v>0</v>
      </c>
      <c r="L26" s="13">
        <v>0</v>
      </c>
      <c r="M26" s="13">
        <v>0</v>
      </c>
      <c r="N26" s="13">
        <v>0</v>
      </c>
      <c r="O26" s="23"/>
      <c r="Q26" s="2"/>
      <c r="R26" s="43"/>
      <c r="S26" s="2"/>
      <c r="T26" s="43"/>
      <c r="U26" s="2"/>
      <c r="V26" s="2"/>
      <c r="W26" s="2"/>
      <c r="X26" s="43"/>
      <c r="Y26" s="43"/>
      <c r="Z26" s="43"/>
      <c r="AA26" s="43"/>
      <c r="AB26" s="2"/>
    </row>
    <row r="27" spans="1:28" x14ac:dyDescent="0.25">
      <c r="A27" s="62"/>
      <c r="B27" t="s">
        <v>10</v>
      </c>
      <c r="C27" s="13">
        <v>0</v>
      </c>
      <c r="D27" s="13">
        <v>7.4249999999999998</v>
      </c>
      <c r="E27" s="13">
        <v>0</v>
      </c>
      <c r="F27" s="13">
        <v>7.15</v>
      </c>
      <c r="G27" s="13">
        <v>0</v>
      </c>
      <c r="H27" s="13">
        <v>1.0449999999999999</v>
      </c>
      <c r="I27" s="13">
        <v>0.495</v>
      </c>
      <c r="J27" s="13">
        <v>1.98</v>
      </c>
      <c r="K27" s="13">
        <v>0</v>
      </c>
      <c r="L27" s="13">
        <v>0</v>
      </c>
      <c r="M27" s="13">
        <v>0</v>
      </c>
      <c r="N27" s="13">
        <v>0</v>
      </c>
      <c r="O27" s="23"/>
      <c r="Q27" s="2"/>
      <c r="R27" s="43"/>
      <c r="S27" s="2"/>
      <c r="T27" s="43"/>
      <c r="U27" s="2"/>
      <c r="V27" s="2"/>
      <c r="W27" s="2"/>
      <c r="X27" s="43"/>
      <c r="Y27" s="43"/>
      <c r="Z27" s="43"/>
      <c r="AA27" s="43"/>
      <c r="AB27" s="2"/>
    </row>
    <row r="28" spans="1:28" x14ac:dyDescent="0.25">
      <c r="A28" s="62"/>
      <c r="B28" t="s">
        <v>8</v>
      </c>
      <c r="C28" s="13">
        <v>167.10785340314132</v>
      </c>
      <c r="D28" s="13">
        <v>58.818848167539258</v>
      </c>
      <c r="E28" s="13">
        <v>0</v>
      </c>
      <c r="F28" s="13">
        <v>137.60104712041883</v>
      </c>
      <c r="G28" s="13">
        <v>0</v>
      </c>
      <c r="H28" s="13">
        <v>38.336125654450257</v>
      </c>
      <c r="I28" s="13">
        <v>34.700523560209419</v>
      </c>
      <c r="J28" s="13">
        <v>104.88062827225129</v>
      </c>
      <c r="K28" s="13">
        <v>0</v>
      </c>
      <c r="L28" s="13">
        <v>0</v>
      </c>
      <c r="M28" s="13">
        <v>0</v>
      </c>
      <c r="N28" s="13">
        <v>0</v>
      </c>
      <c r="O28" s="23"/>
      <c r="Q28" s="2"/>
      <c r="R28" s="43"/>
      <c r="S28" s="2"/>
      <c r="T28" s="43"/>
      <c r="U28" s="2"/>
      <c r="V28" s="2"/>
      <c r="W28" s="2"/>
      <c r="X28" s="43"/>
      <c r="Y28" s="43"/>
      <c r="Z28" s="43"/>
      <c r="AA28" s="43"/>
      <c r="AB28" s="2"/>
    </row>
    <row r="29" spans="1:28" x14ac:dyDescent="0.25">
      <c r="A29" s="62"/>
      <c r="B29" t="s">
        <v>6</v>
      </c>
      <c r="C29" s="13">
        <v>777.14036697247718</v>
      </c>
      <c r="D29" s="13">
        <v>158.34495412844038</v>
      </c>
      <c r="E29" s="13">
        <v>0</v>
      </c>
      <c r="F29" s="13">
        <v>1312.5963302752293</v>
      </c>
      <c r="G29" s="13">
        <v>0</v>
      </c>
      <c r="H29" s="13">
        <v>20.140366972477064</v>
      </c>
      <c r="I29" s="13">
        <v>28.474311926605505</v>
      </c>
      <c r="J29" s="13">
        <v>142.37155963302752</v>
      </c>
      <c r="K29" s="13">
        <v>0</v>
      </c>
      <c r="L29" s="13">
        <v>0</v>
      </c>
      <c r="M29" s="13">
        <v>0</v>
      </c>
      <c r="N29" s="13">
        <v>0</v>
      </c>
      <c r="O29" s="23"/>
      <c r="Q29" s="2"/>
      <c r="R29" s="43"/>
      <c r="S29" s="2"/>
      <c r="T29" s="43"/>
      <c r="U29" s="2"/>
      <c r="V29" s="2"/>
      <c r="W29" s="2"/>
      <c r="X29" s="43"/>
      <c r="Y29" s="43"/>
      <c r="Z29" s="43"/>
      <c r="AA29" s="43"/>
      <c r="AB29" s="2"/>
    </row>
    <row r="30" spans="1:28" x14ac:dyDescent="0.25">
      <c r="A30" s="62"/>
      <c r="B30" t="s">
        <v>4</v>
      </c>
      <c r="C30" s="13">
        <v>141.60683760683762</v>
      </c>
      <c r="D30" s="13">
        <v>378.05128205128204</v>
      </c>
      <c r="E30" s="13">
        <v>0</v>
      </c>
      <c r="F30" s="13">
        <v>1017.2307692307694</v>
      </c>
      <c r="G30" s="13">
        <v>0</v>
      </c>
      <c r="H30" s="13">
        <v>44.820512820512825</v>
      </c>
      <c r="I30" s="13">
        <v>65.606837606837615</v>
      </c>
      <c r="J30" s="13">
        <v>39.623931623931625</v>
      </c>
      <c r="K30" s="13">
        <v>0</v>
      </c>
      <c r="L30" s="13">
        <v>0</v>
      </c>
      <c r="M30" s="13">
        <v>0</v>
      </c>
      <c r="N30" s="13">
        <v>0</v>
      </c>
      <c r="O30" s="23"/>
      <c r="Q30" s="2"/>
      <c r="R30" s="43"/>
      <c r="S30" s="2"/>
      <c r="T30" s="43"/>
      <c r="U30" s="2"/>
      <c r="V30" s="2"/>
      <c r="W30" s="2"/>
      <c r="X30" s="43"/>
      <c r="Y30" s="43"/>
      <c r="Z30" s="43"/>
      <c r="AA30" s="43"/>
      <c r="AB30" s="2"/>
    </row>
    <row r="31" spans="1:28" x14ac:dyDescent="0.25">
      <c r="A31" s="56"/>
      <c r="B31" s="82" t="s">
        <v>2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23"/>
      <c r="Q31" s="2"/>
      <c r="R31" s="43"/>
      <c r="S31" s="2"/>
      <c r="T31" s="43"/>
      <c r="U31" s="2"/>
      <c r="V31" s="2"/>
      <c r="W31" s="2"/>
      <c r="X31" s="43"/>
      <c r="Y31" s="43"/>
      <c r="Z31" s="43"/>
      <c r="AA31" s="43"/>
      <c r="AB31" s="2"/>
    </row>
    <row r="32" spans="1:28" x14ac:dyDescent="0.25">
      <c r="A32" s="150" t="s">
        <v>181</v>
      </c>
      <c r="B32" s="1" t="s">
        <v>18</v>
      </c>
      <c r="C32" s="13">
        <v>452.85673777570935</v>
      </c>
      <c r="D32" s="13">
        <v>52.189515783435844</v>
      </c>
      <c r="E32" s="13">
        <v>0</v>
      </c>
      <c r="F32" s="13">
        <v>71.968541245635251</v>
      </c>
      <c r="G32" s="13">
        <v>0</v>
      </c>
      <c r="H32" s="13">
        <v>12.803552785307556</v>
      </c>
      <c r="I32" s="13">
        <v>18.608304328922813</v>
      </c>
      <c r="J32" s="13">
        <v>62.29854085576649</v>
      </c>
      <c r="K32" s="41">
        <v>0</v>
      </c>
      <c r="L32" s="41">
        <v>0</v>
      </c>
      <c r="M32" s="41">
        <v>0</v>
      </c>
      <c r="N32" s="41">
        <v>0</v>
      </c>
      <c r="O32" s="23"/>
      <c r="Q32" s="2"/>
      <c r="R32" s="43"/>
      <c r="S32" s="2"/>
      <c r="T32" s="43"/>
      <c r="U32" s="2"/>
      <c r="V32" s="2"/>
      <c r="W32" s="2"/>
      <c r="X32" s="43"/>
      <c r="Y32" s="43"/>
      <c r="Z32" s="43"/>
      <c r="AA32" s="43"/>
      <c r="AB32" s="2"/>
    </row>
    <row r="33" spans="1:28" x14ac:dyDescent="0.25">
      <c r="A33" s="86"/>
      <c r="B33" s="1" t="s">
        <v>16</v>
      </c>
      <c r="C33" s="13">
        <v>0</v>
      </c>
      <c r="D33" s="13">
        <v>2.020290181025743</v>
      </c>
      <c r="E33" s="13">
        <v>0</v>
      </c>
      <c r="F33" s="13">
        <v>1.217709150207297</v>
      </c>
      <c r="G33" s="13">
        <v>0</v>
      </c>
      <c r="H33" s="13">
        <v>0.13214829393139019</v>
      </c>
      <c r="I33" s="13">
        <v>0.29058968357219594</v>
      </c>
      <c r="J33" s="13">
        <v>0.31956628090697053</v>
      </c>
      <c r="K33" s="41">
        <v>0</v>
      </c>
      <c r="L33" s="41">
        <v>0</v>
      </c>
      <c r="M33" s="41">
        <v>0</v>
      </c>
      <c r="N33" s="41">
        <v>0</v>
      </c>
      <c r="O33" s="23"/>
      <c r="Q33" s="2"/>
      <c r="R33" s="43"/>
      <c r="S33" s="2"/>
      <c r="T33" s="43"/>
      <c r="U33" s="2"/>
      <c r="V33" s="2"/>
      <c r="W33" s="2"/>
      <c r="X33" s="43"/>
      <c r="Y33" s="43"/>
      <c r="Z33" s="43"/>
      <c r="AA33" s="43"/>
      <c r="AB33" s="2"/>
    </row>
    <row r="34" spans="1:28" x14ac:dyDescent="0.25">
      <c r="A34" s="86"/>
      <c r="B34" t="s">
        <v>14</v>
      </c>
      <c r="C34" s="13">
        <v>4864.0564062430931</v>
      </c>
      <c r="D34" s="13">
        <v>309.88932786554147</v>
      </c>
      <c r="E34" s="13">
        <v>0</v>
      </c>
      <c r="F34" s="13">
        <v>3991.2716750814966</v>
      </c>
      <c r="G34" s="13">
        <v>0</v>
      </c>
      <c r="H34" s="13">
        <v>583.27690565247383</v>
      </c>
      <c r="I34" s="13">
        <v>102.86782667735817</v>
      </c>
      <c r="J34" s="13">
        <v>4318.3046228631865</v>
      </c>
      <c r="K34" s="41">
        <v>0</v>
      </c>
      <c r="L34" s="41">
        <v>0</v>
      </c>
      <c r="M34" s="41">
        <v>0</v>
      </c>
      <c r="N34" s="41">
        <v>0</v>
      </c>
      <c r="O34" s="23"/>
      <c r="Q34" s="2"/>
      <c r="R34" s="43"/>
      <c r="S34" s="2"/>
      <c r="T34" s="43"/>
      <c r="U34" s="2"/>
      <c r="V34" s="2"/>
      <c r="W34" s="2"/>
      <c r="X34" s="43"/>
      <c r="Y34" s="43"/>
      <c r="Z34" s="43"/>
      <c r="AA34" s="43"/>
      <c r="AB34" s="2"/>
    </row>
    <row r="35" spans="1:28" x14ac:dyDescent="0.25">
      <c r="A35" s="86"/>
      <c r="B35" t="s">
        <v>12</v>
      </c>
      <c r="C35" s="13">
        <v>1527.7581433513196</v>
      </c>
      <c r="D35" s="13">
        <v>159.53276910020605</v>
      </c>
      <c r="E35" s="13">
        <v>0</v>
      </c>
      <c r="F35" s="13">
        <v>370.38655369648836</v>
      </c>
      <c r="G35" s="13">
        <v>0</v>
      </c>
      <c r="H35" s="13">
        <v>91.61350597476671</v>
      </c>
      <c r="I35" s="13">
        <v>112.58796422782621</v>
      </c>
      <c r="J35" s="13">
        <v>209.63201287841653</v>
      </c>
      <c r="K35" s="41">
        <v>0</v>
      </c>
      <c r="L35" s="41">
        <v>0</v>
      </c>
      <c r="M35" s="41">
        <v>0</v>
      </c>
      <c r="N35" s="41">
        <v>0</v>
      </c>
      <c r="O35" s="23"/>
      <c r="Q35" s="2"/>
      <c r="R35" s="43"/>
      <c r="S35" s="2"/>
      <c r="T35" s="43"/>
      <c r="U35" s="2"/>
      <c r="V35" s="2"/>
      <c r="W35" s="2"/>
      <c r="X35" s="43"/>
      <c r="Y35" s="43"/>
      <c r="Z35" s="43"/>
      <c r="AA35" s="43"/>
      <c r="AB35" s="2"/>
    </row>
    <row r="36" spans="1:28" x14ac:dyDescent="0.25">
      <c r="A36" s="86"/>
      <c r="B36" t="s">
        <v>10</v>
      </c>
      <c r="C36" s="13">
        <v>0</v>
      </c>
      <c r="D36" s="13">
        <v>10.70724664949203</v>
      </c>
      <c r="E36" s="13">
        <v>0</v>
      </c>
      <c r="F36" s="13">
        <v>10.310681958770104</v>
      </c>
      <c r="G36" s="13">
        <v>0</v>
      </c>
      <c r="H36" s="13">
        <v>1.5482952240797943</v>
      </c>
      <c r="I36" s="13">
        <v>0.71381644329946869</v>
      </c>
      <c r="J36" s="13">
        <v>2.4851949023596736</v>
      </c>
      <c r="K36" s="41">
        <v>0</v>
      </c>
      <c r="L36" s="41">
        <v>0</v>
      </c>
      <c r="M36" s="41">
        <v>0</v>
      </c>
      <c r="N36" s="41">
        <v>0</v>
      </c>
      <c r="O36" s="23"/>
      <c r="Q36" s="2"/>
      <c r="R36" s="43"/>
      <c r="S36" s="2"/>
      <c r="T36" s="43"/>
      <c r="U36" s="2"/>
      <c r="V36" s="2"/>
      <c r="W36" s="2"/>
      <c r="X36" s="43"/>
      <c r="Y36" s="43"/>
      <c r="Z36" s="43"/>
      <c r="AA36" s="43"/>
      <c r="AB36" s="2"/>
    </row>
    <row r="37" spans="1:28" x14ac:dyDescent="0.25">
      <c r="A37" s="86"/>
      <c r="B37" t="s">
        <v>8</v>
      </c>
      <c r="C37" s="13">
        <v>270.67411329132864</v>
      </c>
      <c r="D37" s="13">
        <v>98.314132529823027</v>
      </c>
      <c r="E37" s="13">
        <v>0</v>
      </c>
      <c r="F37" s="13">
        <v>229.99647229245022</v>
      </c>
      <c r="G37" s="13">
        <v>0</v>
      </c>
      <c r="H37" s="13">
        <v>70.475751550679576</v>
      </c>
      <c r="I37" s="13">
        <v>58.000997612792943</v>
      </c>
      <c r="J37" s="13">
        <v>169.88113054473249</v>
      </c>
      <c r="K37" s="41">
        <v>0</v>
      </c>
      <c r="L37" s="41">
        <v>0</v>
      </c>
      <c r="M37" s="41">
        <v>0</v>
      </c>
      <c r="N37" s="41">
        <v>0</v>
      </c>
      <c r="O37" s="23"/>
      <c r="Q37" s="2"/>
      <c r="R37" s="43"/>
      <c r="S37" s="2"/>
      <c r="T37" s="43"/>
      <c r="U37" s="2"/>
      <c r="V37" s="2"/>
      <c r="W37" s="2"/>
      <c r="X37" s="43"/>
      <c r="Y37" s="43"/>
      <c r="Z37" s="43"/>
      <c r="AA37" s="43"/>
      <c r="AB37" s="2"/>
    </row>
    <row r="38" spans="1:28" x14ac:dyDescent="0.25">
      <c r="A38" s="86"/>
      <c r="B38" t="s">
        <v>6</v>
      </c>
      <c r="C38" s="102">
        <v>1306.3115813153215</v>
      </c>
      <c r="D38" s="102">
        <v>283.91853263374514</v>
      </c>
      <c r="E38" s="13">
        <v>0</v>
      </c>
      <c r="F38" s="102">
        <v>2353.5352047270976</v>
      </c>
      <c r="G38" s="13">
        <v>0</v>
      </c>
      <c r="H38" s="102">
        <v>40.002280136173859</v>
      </c>
      <c r="I38" s="102">
        <v>51.055525605191008</v>
      </c>
      <c r="J38" s="102">
        <v>239.31534778341452</v>
      </c>
      <c r="K38" s="41">
        <v>0</v>
      </c>
      <c r="L38" s="41">
        <v>0</v>
      </c>
      <c r="M38" s="41">
        <v>0</v>
      </c>
      <c r="N38" s="41">
        <v>0</v>
      </c>
      <c r="O38" s="23"/>
      <c r="Q38" s="2"/>
      <c r="R38" s="43"/>
      <c r="S38" s="2"/>
      <c r="T38" s="43"/>
      <c r="U38" s="2"/>
      <c r="V38" s="2"/>
      <c r="W38" s="2"/>
      <c r="X38" s="43"/>
      <c r="Y38" s="43"/>
      <c r="Z38" s="43"/>
      <c r="AA38" s="43"/>
      <c r="AB38" s="2"/>
    </row>
    <row r="39" spans="1:28" x14ac:dyDescent="0.25">
      <c r="A39" s="86"/>
      <c r="B39" t="s">
        <v>4</v>
      </c>
      <c r="C39" s="102">
        <v>163.82021347283825</v>
      </c>
      <c r="D39" s="102">
        <v>415.95097668778948</v>
      </c>
      <c r="E39" s="13">
        <v>0</v>
      </c>
      <c r="F39" s="102">
        <v>1119.2082980980729</v>
      </c>
      <c r="G39" s="13">
        <v>0</v>
      </c>
      <c r="H39" s="102">
        <v>53.587082469358563</v>
      </c>
      <c r="I39" s="102">
        <v>72.183932380527054</v>
      </c>
      <c r="J39" s="102">
        <v>45.83960101762905</v>
      </c>
      <c r="K39" s="41">
        <v>0</v>
      </c>
      <c r="L39" s="41">
        <v>0</v>
      </c>
      <c r="M39" s="41">
        <v>0</v>
      </c>
      <c r="N39" s="41">
        <v>0</v>
      </c>
      <c r="O39" s="23"/>
      <c r="Q39" s="2"/>
      <c r="R39" s="43"/>
      <c r="S39" s="2"/>
      <c r="T39" s="43"/>
      <c r="U39" s="2"/>
      <c r="V39" s="2"/>
      <c r="W39" s="2"/>
      <c r="X39" s="43"/>
      <c r="Y39" s="43"/>
      <c r="Z39" s="43"/>
      <c r="AA39" s="43"/>
      <c r="AB39" s="2"/>
    </row>
    <row r="40" spans="1:28" x14ac:dyDescent="0.25">
      <c r="A40" s="85"/>
      <c r="B40" s="82" t="s">
        <v>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0">
        <v>0</v>
      </c>
      <c r="L40" s="40">
        <v>0</v>
      </c>
      <c r="M40" s="40">
        <v>0</v>
      </c>
      <c r="N40" s="40">
        <v>0</v>
      </c>
      <c r="O40" s="23"/>
      <c r="Q40" s="2"/>
      <c r="R40" s="43"/>
      <c r="S40" s="2"/>
      <c r="T40" s="43"/>
      <c r="U40" s="2"/>
      <c r="V40" s="2"/>
      <c r="W40" s="2"/>
      <c r="X40" s="43"/>
      <c r="Y40" s="43"/>
      <c r="Z40" s="43"/>
      <c r="AA40" s="43"/>
      <c r="AB40" s="2"/>
    </row>
    <row r="41" spans="1:28" x14ac:dyDescent="0.25">
      <c r="A41" s="150" t="s">
        <v>275</v>
      </c>
      <c r="B41" s="1" t="s">
        <v>18</v>
      </c>
      <c r="C41" s="13">
        <v>521.97073839070754</v>
      </c>
      <c r="D41" s="13">
        <v>70.429174230814411</v>
      </c>
      <c r="E41" s="13">
        <v>0</v>
      </c>
      <c r="F41" s="13">
        <v>97.120750297038029</v>
      </c>
      <c r="G41" s="13">
        <v>0</v>
      </c>
      <c r="H41" s="13">
        <v>17.611894236727906</v>
      </c>
      <c r="I41" s="13">
        <v>25.11170084735059</v>
      </c>
      <c r="J41" s="13">
        <v>71.806407321808706</v>
      </c>
      <c r="K41" s="41">
        <v>0</v>
      </c>
      <c r="L41" s="41">
        <v>0</v>
      </c>
      <c r="M41" s="41">
        <v>0</v>
      </c>
      <c r="N41" s="41">
        <v>0</v>
      </c>
      <c r="O41" s="23"/>
      <c r="Q41" s="2"/>
      <c r="R41" s="43"/>
      <c r="S41" s="2"/>
      <c r="T41" s="43"/>
      <c r="U41" s="2"/>
      <c r="V41" s="2"/>
      <c r="W41" s="2"/>
      <c r="X41" s="43"/>
      <c r="Y41" s="43"/>
      <c r="Z41" s="43"/>
      <c r="AA41" s="43"/>
      <c r="AB41" s="2"/>
    </row>
    <row r="42" spans="1:28" x14ac:dyDescent="0.25">
      <c r="A42" s="86"/>
      <c r="B42" s="1" t="s">
        <v>16</v>
      </c>
      <c r="C42" s="13">
        <v>0</v>
      </c>
      <c r="D42" s="13">
        <v>2.3076798651678501</v>
      </c>
      <c r="E42" s="13">
        <v>0</v>
      </c>
      <c r="F42" s="13">
        <v>1.3909303296902107</v>
      </c>
      <c r="G42" s="13">
        <v>0</v>
      </c>
      <c r="H42" s="13">
        <v>0.16285414173404458</v>
      </c>
      <c r="I42" s="13">
        <v>0.33192655594880038</v>
      </c>
      <c r="J42" s="13">
        <v>0.36336452591551849</v>
      </c>
      <c r="K42" s="41">
        <v>0</v>
      </c>
      <c r="L42" s="41">
        <v>0</v>
      </c>
      <c r="M42" s="41">
        <v>0</v>
      </c>
      <c r="N42" s="41">
        <v>0</v>
      </c>
      <c r="O42" s="23"/>
      <c r="Q42" s="2"/>
      <c r="R42" s="43"/>
      <c r="S42" s="2"/>
      <c r="T42" s="43"/>
      <c r="U42" s="2"/>
      <c r="V42" s="2"/>
      <c r="W42" s="2"/>
      <c r="X42" s="43"/>
      <c r="Y42" s="43"/>
      <c r="Z42" s="43"/>
      <c r="AA42" s="43"/>
      <c r="AB42" s="2"/>
    </row>
    <row r="43" spans="1:28" x14ac:dyDescent="0.25">
      <c r="A43" s="86"/>
      <c r="B43" t="s">
        <v>14</v>
      </c>
      <c r="C43" s="13">
        <v>6905.6509815087202</v>
      </c>
      <c r="D43" s="13">
        <v>451.19183013552043</v>
      </c>
      <c r="E43" s="13">
        <v>0</v>
      </c>
      <c r="F43" s="13">
        <v>5811.2009989238804</v>
      </c>
      <c r="G43" s="13">
        <v>0</v>
      </c>
      <c r="H43" s="13">
        <v>991.10380538303764</v>
      </c>
      <c r="I43" s="13">
        <v>149.77322162174951</v>
      </c>
      <c r="J43" s="13">
        <v>6130.8303331049901</v>
      </c>
      <c r="K43" s="41">
        <v>0</v>
      </c>
      <c r="L43" s="41">
        <v>0</v>
      </c>
      <c r="M43" s="41">
        <v>0</v>
      </c>
      <c r="N43" s="41">
        <v>0</v>
      </c>
      <c r="O43" s="23"/>
      <c r="Q43" s="2"/>
      <c r="R43" s="43"/>
      <c r="S43" s="2"/>
      <c r="T43" s="43"/>
      <c r="U43" s="2"/>
      <c r="V43" s="2"/>
      <c r="W43" s="2"/>
      <c r="X43" s="43"/>
      <c r="Y43" s="43"/>
      <c r="Z43" s="43"/>
      <c r="AA43" s="43"/>
      <c r="AB43" s="2"/>
    </row>
    <row r="44" spans="1:28" x14ac:dyDescent="0.25">
      <c r="A44" s="86"/>
      <c r="B44" t="s">
        <v>12</v>
      </c>
      <c r="C44" s="13">
        <v>1830.2041314192211</v>
      </c>
      <c r="D44" s="13">
        <v>197.29373632540737</v>
      </c>
      <c r="E44" s="13">
        <v>0</v>
      </c>
      <c r="F44" s="13">
        <v>458.05603121933734</v>
      </c>
      <c r="G44" s="13">
        <v>0</v>
      </c>
      <c r="H44" s="13">
        <v>138.51413258826113</v>
      </c>
      <c r="I44" s="13">
        <v>139.23722538675881</v>
      </c>
      <c r="J44" s="13">
        <v>251.13227359808454</v>
      </c>
      <c r="K44" s="41">
        <v>0</v>
      </c>
      <c r="L44" s="41">
        <v>0</v>
      </c>
      <c r="M44" s="41">
        <v>0</v>
      </c>
      <c r="N44" s="41">
        <v>0</v>
      </c>
      <c r="O44" s="23"/>
      <c r="Q44" s="2"/>
      <c r="R44" s="43"/>
      <c r="S44" s="2"/>
      <c r="T44" s="43"/>
      <c r="U44" s="2"/>
      <c r="V44" s="2"/>
      <c r="W44" s="2"/>
      <c r="X44" s="43"/>
      <c r="Y44" s="43"/>
      <c r="Z44" s="43"/>
      <c r="AA44" s="43"/>
      <c r="AB44" s="2"/>
    </row>
    <row r="45" spans="1:28" x14ac:dyDescent="0.25">
      <c r="A45" s="86"/>
      <c r="B45" t="s">
        <v>10</v>
      </c>
      <c r="C45" s="13">
        <v>0</v>
      </c>
      <c r="D45" s="13">
        <v>13.632404543540799</v>
      </c>
      <c r="E45" s="13">
        <v>0</v>
      </c>
      <c r="F45" s="13">
        <v>13.127500671557808</v>
      </c>
      <c r="G45" s="13">
        <v>0</v>
      </c>
      <c r="H45" s="13">
        <v>2.0126976575944582</v>
      </c>
      <c r="I45" s="13">
        <v>0.90882696956938658</v>
      </c>
      <c r="J45" s="13">
        <v>2.7700006329526548</v>
      </c>
      <c r="K45" s="41">
        <v>0</v>
      </c>
      <c r="L45" s="41">
        <v>0</v>
      </c>
      <c r="M45" s="41">
        <v>0</v>
      </c>
      <c r="N45" s="41">
        <v>0</v>
      </c>
      <c r="O45" s="23"/>
      <c r="Q45" s="2"/>
      <c r="R45" s="43"/>
      <c r="S45" s="2"/>
      <c r="T45" s="43"/>
      <c r="U45" s="2"/>
      <c r="V45" s="2"/>
      <c r="W45" s="2"/>
      <c r="X45" s="43"/>
      <c r="Y45" s="43"/>
      <c r="Z45" s="43"/>
      <c r="AA45" s="43"/>
      <c r="AB45" s="2"/>
    </row>
    <row r="46" spans="1:28" x14ac:dyDescent="0.25">
      <c r="A46" s="86"/>
      <c r="B46" t="s">
        <v>8</v>
      </c>
      <c r="C46" s="13">
        <v>378.06244893186971</v>
      </c>
      <c r="D46" s="13">
        <v>139.15264569702916</v>
      </c>
      <c r="E46" s="13">
        <v>0</v>
      </c>
      <c r="F46" s="13">
        <v>325.53425226805001</v>
      </c>
      <c r="G46" s="13">
        <v>0</v>
      </c>
      <c r="H46" s="13">
        <v>112.45454575980391</v>
      </c>
      <c r="I46" s="13">
        <v>82.093917356580661</v>
      </c>
      <c r="J46" s="13">
        <v>237.2804530883588</v>
      </c>
      <c r="K46" s="41">
        <v>0</v>
      </c>
      <c r="L46" s="41">
        <v>0</v>
      </c>
      <c r="M46" s="41">
        <v>0</v>
      </c>
      <c r="N46" s="41">
        <v>0</v>
      </c>
      <c r="O46" s="23"/>
      <c r="Q46" s="2"/>
      <c r="R46" s="43"/>
      <c r="S46" s="2"/>
      <c r="T46" s="43"/>
      <c r="U46" s="2"/>
      <c r="V46" s="2"/>
      <c r="W46" s="2"/>
      <c r="X46" s="43"/>
      <c r="Y46" s="43"/>
      <c r="Z46" s="43"/>
      <c r="AA46" s="43"/>
      <c r="AB46" s="2"/>
    </row>
    <row r="47" spans="1:28" x14ac:dyDescent="0.25">
      <c r="A47" s="86"/>
      <c r="B47" t="s">
        <v>6</v>
      </c>
      <c r="C47" s="13">
        <v>1901.1521457484866</v>
      </c>
      <c r="D47" s="13">
        <v>445.15154833621625</v>
      </c>
      <c r="E47" s="13">
        <v>0</v>
      </c>
      <c r="F47" s="13">
        <v>3690.0720454186344</v>
      </c>
      <c r="G47" s="13">
        <v>0</v>
      </c>
      <c r="H47" s="13">
        <v>69.21481958752004</v>
      </c>
      <c r="I47" s="13">
        <v>80.049181937652918</v>
      </c>
      <c r="J47" s="13">
        <v>348.28971392175129</v>
      </c>
      <c r="K47" s="41">
        <v>0</v>
      </c>
      <c r="L47" s="41">
        <v>0</v>
      </c>
      <c r="M47" s="41">
        <v>0</v>
      </c>
      <c r="N47" s="41">
        <v>0</v>
      </c>
      <c r="O47" s="23"/>
      <c r="Q47" s="2"/>
      <c r="R47" s="43"/>
      <c r="S47" s="2"/>
      <c r="T47" s="43"/>
      <c r="U47" s="2"/>
      <c r="V47" s="2"/>
      <c r="W47" s="2"/>
      <c r="X47" s="43"/>
      <c r="Y47" s="43"/>
      <c r="Z47" s="43"/>
      <c r="AA47" s="43"/>
      <c r="AB47" s="2"/>
    </row>
    <row r="48" spans="1:28" x14ac:dyDescent="0.25">
      <c r="A48" s="86"/>
      <c r="B48" t="s">
        <v>4</v>
      </c>
      <c r="C48" s="13">
        <v>164.16267922935799</v>
      </c>
      <c r="D48" s="13">
        <v>459.0759745496685</v>
      </c>
      <c r="E48" s="13">
        <v>0</v>
      </c>
      <c r="F48" s="13">
        <v>1235.2456634790053</v>
      </c>
      <c r="G48" s="13">
        <v>0</v>
      </c>
      <c r="H48" s="13">
        <v>66.3266453597614</v>
      </c>
      <c r="I48" s="13">
        <v>79.667823762055889</v>
      </c>
      <c r="J48" s="13">
        <v>45.93542859170109</v>
      </c>
      <c r="K48" s="41">
        <v>0</v>
      </c>
      <c r="L48" s="41">
        <v>0</v>
      </c>
      <c r="M48" s="41">
        <v>0</v>
      </c>
      <c r="N48" s="41">
        <v>0</v>
      </c>
      <c r="O48" s="23"/>
      <c r="Q48" s="2"/>
      <c r="R48" s="43"/>
      <c r="S48" s="2"/>
      <c r="T48" s="43"/>
      <c r="U48" s="2"/>
      <c r="V48" s="2"/>
      <c r="W48" s="2"/>
      <c r="X48" s="43"/>
      <c r="Y48" s="43"/>
      <c r="Z48" s="43"/>
      <c r="AA48" s="43"/>
      <c r="AB48" s="2"/>
    </row>
    <row r="49" spans="1:28" x14ac:dyDescent="0.25">
      <c r="A49" s="85"/>
      <c r="B49" s="82" t="s">
        <v>2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0">
        <v>0</v>
      </c>
      <c r="M49" s="40">
        <v>0</v>
      </c>
      <c r="N49" s="40">
        <v>0</v>
      </c>
      <c r="O49" s="23"/>
      <c r="Q49" s="2"/>
      <c r="R49" s="43"/>
      <c r="S49" s="2"/>
      <c r="T49" s="43"/>
      <c r="U49" s="2"/>
      <c r="V49" s="2"/>
      <c r="W49" s="2"/>
      <c r="X49" s="43"/>
      <c r="Y49" s="43"/>
      <c r="Z49" s="43"/>
      <c r="AA49" s="43"/>
      <c r="AB49" s="2"/>
    </row>
    <row r="50" spans="1:28" x14ac:dyDescent="0.25">
      <c r="A50" s="120" t="s">
        <v>179</v>
      </c>
      <c r="B50" s="1" t="s">
        <v>18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120"/>
      <c r="B51" s="1" t="s">
        <v>16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120"/>
      <c r="B52" t="s">
        <v>14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</row>
    <row r="53" spans="1:28" x14ac:dyDescent="0.25">
      <c r="A53" s="120"/>
      <c r="B53" t="s">
        <v>12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</row>
    <row r="54" spans="1:28" x14ac:dyDescent="0.25">
      <c r="A54" s="120"/>
      <c r="B54" t="s">
        <v>10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</row>
    <row r="55" spans="1:28" x14ac:dyDescent="0.25">
      <c r="A55" s="120"/>
      <c r="B55" t="s">
        <v>8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</row>
    <row r="56" spans="1:28" x14ac:dyDescent="0.25">
      <c r="A56" s="120"/>
      <c r="B56" t="s">
        <v>6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</row>
    <row r="57" spans="1:28" x14ac:dyDescent="0.25">
      <c r="A57" s="120"/>
      <c r="B57" t="s">
        <v>4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</row>
    <row r="58" spans="1:28" x14ac:dyDescent="0.25">
      <c r="A58" s="121"/>
      <c r="B58" s="82" t="s">
        <v>2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</row>
    <row r="61" spans="1:28" x14ac:dyDescent="0.25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28" x14ac:dyDescent="0.25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28" x14ac:dyDescent="0.25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28" x14ac:dyDescent="0.25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spans="3:14" x14ac:dyDescent="0.25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</row>
    <row r="66" spans="3:14" x14ac:dyDescent="0.25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</row>
    <row r="67" spans="3:14" x14ac:dyDescent="0.25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spans="3:14" x14ac:dyDescent="0.25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showGridLines="0" topLeftCell="B14" zoomScaleNormal="100" workbookViewId="0">
      <selection activeCell="A23" sqref="A23"/>
    </sheetView>
  </sheetViews>
  <sheetFormatPr defaultRowHeight="11.5" x14ac:dyDescent="0.25"/>
  <cols>
    <col min="1" max="1" width="12.08984375" customWidth="1"/>
    <col min="2" max="2" width="14.90625" customWidth="1"/>
    <col min="16" max="16" width="12.6328125" customWidth="1"/>
  </cols>
  <sheetData>
    <row r="1" spans="1:20" ht="19.5" x14ac:dyDescent="0.35">
      <c r="A1" s="101" t="s">
        <v>192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89" t="s">
        <v>330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89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8"/>
      <c r="N4" s="97"/>
      <c r="T4" s="23"/>
    </row>
    <row r="5" spans="1:20" x14ac:dyDescent="0.25"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2"/>
      <c r="N5" s="92"/>
      <c r="T5" s="23"/>
    </row>
    <row r="6" spans="1:20" x14ac:dyDescent="0.25">
      <c r="A6" s="2" t="s">
        <v>327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2"/>
      <c r="N6" s="92"/>
      <c r="T6" s="23"/>
    </row>
    <row r="7" spans="1:20" x14ac:dyDescent="0.25">
      <c r="A7" s="2" t="s">
        <v>328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2"/>
      <c r="N7" s="92"/>
      <c r="T7" s="23"/>
    </row>
    <row r="8" spans="1:20" x14ac:dyDescent="0.25">
      <c r="A8" s="2" t="s">
        <v>190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2"/>
      <c r="N8" s="92"/>
      <c r="T8" s="23"/>
    </row>
    <row r="9" spans="1:20" x14ac:dyDescent="0.25">
      <c r="A9" s="2" t="s">
        <v>326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52"/>
      <c r="N9" s="92"/>
      <c r="T9" s="23"/>
    </row>
    <row r="10" spans="1:20" x14ac:dyDescent="0.25">
      <c r="A10" s="2" t="s">
        <v>323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2"/>
      <c r="N10" s="92"/>
      <c r="T10" s="23"/>
    </row>
    <row r="11" spans="1:20" x14ac:dyDescent="0.25">
      <c r="A11" s="95" t="s">
        <v>191</v>
      </c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2"/>
      <c r="N11" s="92"/>
      <c r="T11" s="23"/>
    </row>
    <row r="12" spans="1:20" x14ac:dyDescent="0.25">
      <c r="A12" s="124" t="s">
        <v>324</v>
      </c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2"/>
      <c r="N12" s="92"/>
      <c r="T12" s="23"/>
    </row>
    <row r="13" spans="1:20" x14ac:dyDescent="0.25">
      <c r="A13" s="95" t="s">
        <v>325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2"/>
      <c r="N13" s="92"/>
      <c r="T13" s="23"/>
    </row>
    <row r="14" spans="1:20" x14ac:dyDescent="0.25"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2"/>
      <c r="N14" s="92"/>
      <c r="T14" s="23"/>
    </row>
    <row r="15" spans="1:20" x14ac:dyDescent="0.25">
      <c r="A15" s="15" t="s">
        <v>329</v>
      </c>
      <c r="E15" s="92"/>
      <c r="F15" s="93"/>
      <c r="G15" s="2"/>
      <c r="H15" s="2"/>
      <c r="I15" s="2"/>
      <c r="J15" s="2"/>
      <c r="K15" s="2"/>
      <c r="L15" s="2"/>
      <c r="M15" s="2"/>
      <c r="N15" s="92"/>
      <c r="T15" s="23"/>
    </row>
    <row r="16" spans="1:20" x14ac:dyDescent="0.25">
      <c r="A16" s="151" t="s">
        <v>331</v>
      </c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2"/>
      <c r="N16" s="92"/>
      <c r="T16" s="23"/>
    </row>
    <row r="17" spans="1:21" x14ac:dyDescent="0.25">
      <c r="A17" s="106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2"/>
      <c r="N17" s="92"/>
      <c r="T17" s="23"/>
    </row>
    <row r="18" spans="1:21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82"/>
      <c r="N18" s="90"/>
      <c r="T18" s="23"/>
    </row>
    <row r="19" spans="1:21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1" ht="46" x14ac:dyDescent="0.25">
      <c r="A20" s="149" t="s">
        <v>313</v>
      </c>
      <c r="B20" s="75"/>
      <c r="C20" s="23"/>
      <c r="D20" s="74" t="s">
        <v>188</v>
      </c>
      <c r="E20" s="74" t="s">
        <v>188</v>
      </c>
      <c r="F20" s="74" t="s">
        <v>188</v>
      </c>
      <c r="G20" s="74" t="s">
        <v>188</v>
      </c>
      <c r="H20" s="74" t="s">
        <v>188</v>
      </c>
      <c r="I20" s="74" t="s">
        <v>321</v>
      </c>
      <c r="J20" s="74" t="s">
        <v>188</v>
      </c>
      <c r="K20" s="74" t="s">
        <v>188</v>
      </c>
      <c r="L20" s="74" t="s">
        <v>188</v>
      </c>
      <c r="M20" s="74" t="s">
        <v>189</v>
      </c>
      <c r="N20" s="74" t="s">
        <v>188</v>
      </c>
      <c r="O20" s="23"/>
      <c r="P20" s="23"/>
      <c r="Q20" s="23"/>
      <c r="R20" s="23"/>
      <c r="S20" s="23"/>
      <c r="T20" s="23"/>
    </row>
    <row r="21" spans="1:21" x14ac:dyDescent="0.25">
      <c r="B21" s="75" t="s">
        <v>322</v>
      </c>
      <c r="C21" s="72" t="s">
        <v>183</v>
      </c>
      <c r="D21" s="70"/>
      <c r="E21" s="70"/>
      <c r="F21" s="70"/>
      <c r="G21" s="70"/>
      <c r="H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1" ht="15" thickBot="1" x14ac:dyDescent="0.3">
      <c r="A22" s="67" t="s">
        <v>355</v>
      </c>
      <c r="B22" s="46" t="s">
        <v>21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3"/>
      <c r="P22" s="1"/>
      <c r="Q22" s="103"/>
      <c r="R22" s="103"/>
      <c r="S22" s="103"/>
      <c r="T22" s="103"/>
      <c r="U22" s="103"/>
    </row>
    <row r="23" spans="1:21" ht="14.5" x14ac:dyDescent="0.25">
      <c r="A23" s="62" t="s">
        <v>150</v>
      </c>
      <c r="B23" s="1" t="s">
        <v>18</v>
      </c>
      <c r="C23" s="13">
        <v>278</v>
      </c>
      <c r="D23" s="13">
        <v>280.77137350609797</v>
      </c>
      <c r="E23" s="13">
        <v>260.10870785542892</v>
      </c>
      <c r="F23" s="13">
        <v>346.92926119185051</v>
      </c>
      <c r="G23" s="13">
        <v>804.22408812951153</v>
      </c>
      <c r="H23" s="13">
        <v>1300</v>
      </c>
      <c r="I23" s="41">
        <v>589.52099535474895</v>
      </c>
      <c r="J23" s="13">
        <v>423</v>
      </c>
      <c r="K23" s="41">
        <v>647</v>
      </c>
      <c r="L23" s="41">
        <v>647</v>
      </c>
      <c r="M23" s="42">
        <v>50</v>
      </c>
      <c r="N23" s="41">
        <v>281</v>
      </c>
      <c r="O23" s="23"/>
      <c r="P23" s="103"/>
      <c r="Q23" s="102"/>
      <c r="R23" s="102"/>
      <c r="S23" s="102"/>
      <c r="T23" s="102"/>
      <c r="U23" s="102"/>
    </row>
    <row r="24" spans="1:21" ht="14.5" x14ac:dyDescent="0.25">
      <c r="A24" s="62"/>
      <c r="B24" s="1" t="s">
        <v>16</v>
      </c>
      <c r="C24" s="42">
        <f>AVERAGE($C$23,$C$25,$C$26,$C$29)</f>
        <v>367</v>
      </c>
      <c r="D24" s="13">
        <v>406.37104289086568</v>
      </c>
      <c r="E24" s="42">
        <f>AVERAGE($E$23,$E$25:$E$26,$E$28,$E$29,$E$31)</f>
        <v>413.76340592750824</v>
      </c>
      <c r="F24" s="13">
        <v>248.4449669259358</v>
      </c>
      <c r="G24" s="13">
        <v>218.82347235693501</v>
      </c>
      <c r="H24" s="42">
        <f>AVERAGE($H$25,$H$23,$H$30)</f>
        <v>1155.6666666666667</v>
      </c>
      <c r="I24" s="41">
        <v>454.40011760598321</v>
      </c>
      <c r="J24" s="42">
        <f>AVERAGE($J$23,$J$25,$J$26,$J$29)</f>
        <v>552.25</v>
      </c>
      <c r="K24" s="42">
        <f>AVERAGE($K$23,$K$25:$K$26)</f>
        <v>944.66666666666663</v>
      </c>
      <c r="L24" s="42">
        <f>AVERAGE($K$23,$K$25:$K$26)</f>
        <v>944.66666666666663</v>
      </c>
      <c r="M24" s="13">
        <v>50</v>
      </c>
      <c r="N24" s="42">
        <f>AVERAGE(N$23,N$25:N$29)</f>
        <v>544</v>
      </c>
      <c r="O24" s="23"/>
      <c r="P24" s="103"/>
      <c r="Q24" s="102"/>
      <c r="R24" s="102"/>
      <c r="S24" s="102"/>
      <c r="T24" s="102"/>
      <c r="U24" s="102"/>
    </row>
    <row r="25" spans="1:21" ht="14.5" x14ac:dyDescent="0.25">
      <c r="A25" s="62"/>
      <c r="B25" t="s">
        <v>14</v>
      </c>
      <c r="C25" s="43">
        <v>330</v>
      </c>
      <c r="D25" s="13">
        <v>647.5436718118217</v>
      </c>
      <c r="E25" s="13">
        <v>458.38388162954539</v>
      </c>
      <c r="F25" s="13">
        <v>239.9209169017133</v>
      </c>
      <c r="G25" s="13">
        <v>872.92864080535696</v>
      </c>
      <c r="H25" s="41">
        <v>1128</v>
      </c>
      <c r="I25" s="41">
        <v>663.06373462541933</v>
      </c>
      <c r="J25" s="41">
        <v>522</v>
      </c>
      <c r="K25" s="13">
        <v>792</v>
      </c>
      <c r="L25" s="13">
        <v>792</v>
      </c>
      <c r="M25" s="13">
        <v>50</v>
      </c>
      <c r="N25" s="41">
        <v>562</v>
      </c>
      <c r="O25" s="23"/>
      <c r="P25" s="103"/>
      <c r="Q25" s="102"/>
      <c r="R25" s="102"/>
      <c r="S25" s="102"/>
      <c r="T25" s="102"/>
      <c r="U25" s="102"/>
    </row>
    <row r="26" spans="1:21" ht="14.5" x14ac:dyDescent="0.25">
      <c r="A26" s="62"/>
      <c r="B26" t="s">
        <v>12</v>
      </c>
      <c r="C26" s="41">
        <v>163</v>
      </c>
      <c r="D26" s="13">
        <v>142.89974644438851</v>
      </c>
      <c r="E26" s="13">
        <v>389.99177496251241</v>
      </c>
      <c r="F26" s="13">
        <v>192.51158768087981</v>
      </c>
      <c r="G26" s="13">
        <v>297.9256925004085</v>
      </c>
      <c r="H26" s="42">
        <f>AVERAGE($H$25,$H$23,$H$30)</f>
        <v>1155.6666666666667</v>
      </c>
      <c r="I26" s="41">
        <v>318.9842805320435</v>
      </c>
      <c r="J26" s="41">
        <v>484</v>
      </c>
      <c r="K26" s="13">
        <v>1395</v>
      </c>
      <c r="L26" s="13">
        <v>1395</v>
      </c>
      <c r="M26" s="13">
        <v>50</v>
      </c>
      <c r="N26" s="41">
        <v>754</v>
      </c>
      <c r="O26" s="23"/>
      <c r="P26" s="103"/>
      <c r="Q26" s="102"/>
      <c r="R26" s="102"/>
      <c r="S26" s="102"/>
      <c r="T26" s="102"/>
      <c r="U26" s="102"/>
    </row>
    <row r="27" spans="1:21" ht="14.5" x14ac:dyDescent="0.25">
      <c r="A27" s="62"/>
      <c r="B27" t="s">
        <v>10</v>
      </c>
      <c r="C27" s="42">
        <f>AVERAGE($C$23,$C$25,$C$26,$C$29)</f>
        <v>367</v>
      </c>
      <c r="D27" s="13">
        <v>233.45923731642191</v>
      </c>
      <c r="E27" s="42">
        <f>AVERAGE($E$23,$E$25:$E$26,$E$28,$E$29,$E$31)</f>
        <v>413.76340592750824</v>
      </c>
      <c r="F27" s="13">
        <v>247.7020510218872</v>
      </c>
      <c r="G27" s="13">
        <v>503.08994378513432</v>
      </c>
      <c r="H27" s="42">
        <f>AVERAGE($H$25,$H$23,$H$30)</f>
        <v>1155.6666666666667</v>
      </c>
      <c r="I27" s="41">
        <v>411.76907178825491</v>
      </c>
      <c r="J27" s="42">
        <f>AVERAGE($J$23,$J$25,$J$26,$J$29)</f>
        <v>552.25</v>
      </c>
      <c r="K27" s="42">
        <f t="shared" ref="K27:L29" si="0">AVERAGE($K$23,$K$25:$K$26)</f>
        <v>944.66666666666663</v>
      </c>
      <c r="L27" s="42">
        <f t="shared" si="0"/>
        <v>944.66666666666663</v>
      </c>
      <c r="M27" s="13">
        <v>50</v>
      </c>
      <c r="N27" s="41">
        <v>459</v>
      </c>
      <c r="O27" s="23"/>
      <c r="P27" s="103"/>
      <c r="Q27" s="102"/>
      <c r="R27" s="102"/>
      <c r="S27" s="102"/>
      <c r="T27" s="102"/>
      <c r="U27" s="102"/>
    </row>
    <row r="28" spans="1:21" ht="14.5" x14ac:dyDescent="0.25">
      <c r="A28" s="62"/>
      <c r="B28" t="s">
        <v>8</v>
      </c>
      <c r="C28" s="42">
        <f>AVERAGE($C$23,$C$25,$C$26,$C$29)</f>
        <v>367</v>
      </c>
      <c r="D28" s="13">
        <v>416.26934402387889</v>
      </c>
      <c r="E28" s="13">
        <v>212.0197591794485</v>
      </c>
      <c r="F28" s="13">
        <v>298.62864690965762</v>
      </c>
      <c r="G28" s="13">
        <v>314.43606787941457</v>
      </c>
      <c r="H28" s="42">
        <f>AVERAGE($H$25,$H$23,$H$30)</f>
        <v>1155.6666666666667</v>
      </c>
      <c r="I28" s="41">
        <v>199.22688076122512</v>
      </c>
      <c r="J28" s="42">
        <f>AVERAGE($J$23,$J$25,$J$26,$J$29)</f>
        <v>552.25</v>
      </c>
      <c r="K28" s="42">
        <f t="shared" si="0"/>
        <v>944.66666666666663</v>
      </c>
      <c r="L28" s="42">
        <f t="shared" si="0"/>
        <v>944.66666666666663</v>
      </c>
      <c r="M28" s="13">
        <v>50</v>
      </c>
      <c r="N28" s="41">
        <v>407</v>
      </c>
      <c r="O28" s="23"/>
      <c r="P28" s="103"/>
      <c r="Q28" s="102"/>
      <c r="R28" s="102"/>
      <c r="S28" s="102"/>
      <c r="T28" s="102"/>
      <c r="U28" s="102"/>
    </row>
    <row r="29" spans="1:21" ht="14.5" x14ac:dyDescent="0.25">
      <c r="A29" s="62"/>
      <c r="B29" t="s">
        <v>6</v>
      </c>
      <c r="C29" s="41">
        <v>697</v>
      </c>
      <c r="D29" s="13">
        <v>574.98062995694534</v>
      </c>
      <c r="E29" s="13">
        <v>727.07631193811403</v>
      </c>
      <c r="F29" s="13">
        <v>158.02888811589551</v>
      </c>
      <c r="G29" s="13">
        <v>293.24053944082738</v>
      </c>
      <c r="H29" s="42">
        <f>AVERAGE($H$25,$H$23,$H$30)</f>
        <v>1155.6666666666667</v>
      </c>
      <c r="I29" s="41">
        <v>610.87321806059947</v>
      </c>
      <c r="J29" s="41">
        <v>780</v>
      </c>
      <c r="K29" s="42">
        <f t="shared" si="0"/>
        <v>944.66666666666663</v>
      </c>
      <c r="L29" s="42">
        <f t="shared" si="0"/>
        <v>944.66666666666663</v>
      </c>
      <c r="M29" s="13">
        <v>50</v>
      </c>
      <c r="N29" s="41">
        <v>801</v>
      </c>
      <c r="O29" s="23"/>
      <c r="P29" s="103"/>
      <c r="Q29" s="102"/>
      <c r="R29" s="102"/>
      <c r="S29" s="102"/>
      <c r="T29" s="102"/>
      <c r="U29" s="102"/>
    </row>
    <row r="30" spans="1:21" ht="14.5" x14ac:dyDescent="0.25">
      <c r="A30" s="58"/>
      <c r="B30" s="1" t="s">
        <v>4</v>
      </c>
      <c r="C30" s="104">
        <f>AVERAGE($C$23,$C$25,$C$26,$C$29)</f>
        <v>367</v>
      </c>
      <c r="D30" s="13">
        <v>261.77288266040699</v>
      </c>
      <c r="E30" s="42">
        <f>AVERAGE($E$23,$E$25:$E$26,$E$28,$E$29,$E$31)</f>
        <v>413.76340592750824</v>
      </c>
      <c r="F30" s="13">
        <v>307.66966547946367</v>
      </c>
      <c r="G30" s="13">
        <v>462.2575787913413</v>
      </c>
      <c r="H30" s="43">
        <v>1039</v>
      </c>
      <c r="I30" s="43">
        <v>510.04123396456936</v>
      </c>
      <c r="J30" s="104">
        <f>AVERAGE($J$23,$J$25,$J$26,$J$29)</f>
        <v>552.25</v>
      </c>
      <c r="K30" s="13">
        <v>3012</v>
      </c>
      <c r="L30" s="13">
        <v>3012</v>
      </c>
      <c r="M30" s="13">
        <v>50</v>
      </c>
      <c r="N30" s="104">
        <f>AVERAGE(N$23,N$25:N$29)</f>
        <v>544</v>
      </c>
      <c r="O30" s="23"/>
      <c r="P30" s="103"/>
      <c r="Q30" s="102"/>
      <c r="R30" s="102"/>
      <c r="S30" s="102"/>
      <c r="T30" s="102"/>
      <c r="U30" s="102"/>
    </row>
    <row r="31" spans="1:21" ht="14.5" x14ac:dyDescent="0.25">
      <c r="A31" s="56"/>
      <c r="B31" s="82" t="s">
        <v>2</v>
      </c>
      <c r="C31" s="40">
        <v>395</v>
      </c>
      <c r="D31" s="40">
        <v>268</v>
      </c>
      <c r="E31" s="40">
        <v>435</v>
      </c>
      <c r="F31" s="40">
        <v>239</v>
      </c>
      <c r="G31" s="40">
        <v>423</v>
      </c>
      <c r="H31" s="40">
        <v>836</v>
      </c>
      <c r="I31" s="40">
        <v>528</v>
      </c>
      <c r="J31" s="40">
        <v>391</v>
      </c>
      <c r="K31" s="39">
        <v>5909</v>
      </c>
      <c r="L31" s="39">
        <v>5545</v>
      </c>
      <c r="M31" s="39">
        <v>50</v>
      </c>
      <c r="N31" s="40">
        <v>817</v>
      </c>
      <c r="O31" s="23"/>
      <c r="P31" s="103"/>
      <c r="Q31" s="102"/>
      <c r="R31" s="102"/>
      <c r="S31" s="102"/>
      <c r="T31" s="102"/>
      <c r="U31" s="102"/>
    </row>
    <row r="32" spans="1:21" ht="14.5" x14ac:dyDescent="0.25">
      <c r="A32" s="87" t="s">
        <v>276</v>
      </c>
      <c r="B32" s="1" t="s">
        <v>18</v>
      </c>
      <c r="C32" s="13">
        <v>278</v>
      </c>
      <c r="D32" s="13">
        <v>280.77137350609797</v>
      </c>
      <c r="E32" s="13">
        <v>260.10870785542892</v>
      </c>
      <c r="F32" s="13">
        <v>346.92926119185051</v>
      </c>
      <c r="G32" s="13">
        <v>804.22408812951153</v>
      </c>
      <c r="H32" s="13">
        <v>1300</v>
      </c>
      <c r="I32" s="41">
        <v>589.52099535474895</v>
      </c>
      <c r="J32" s="13">
        <v>423</v>
      </c>
      <c r="K32" s="41">
        <v>647</v>
      </c>
      <c r="L32" s="41">
        <v>647</v>
      </c>
      <c r="M32" s="42">
        <v>50</v>
      </c>
      <c r="N32" s="41">
        <v>281</v>
      </c>
      <c r="P32" s="103"/>
      <c r="Q32" s="102"/>
      <c r="R32" s="102"/>
      <c r="S32" s="102"/>
      <c r="T32" s="102"/>
      <c r="U32" s="102"/>
    </row>
    <row r="33" spans="1:21" ht="14.5" x14ac:dyDescent="0.25">
      <c r="A33" s="87"/>
      <c r="B33" s="1" t="s">
        <v>16</v>
      </c>
      <c r="C33" s="42">
        <f>AVERAGE($C$23,$C$25,$C$26,$C$29)</f>
        <v>367</v>
      </c>
      <c r="D33" s="13">
        <v>406.37104289086568</v>
      </c>
      <c r="E33" s="42">
        <f>AVERAGE($E$23,$E$25:$E$26,$E$28,$E$29,$E$31)</f>
        <v>413.76340592750824</v>
      </c>
      <c r="F33" s="13">
        <v>248.4449669259358</v>
      </c>
      <c r="G33" s="13">
        <v>218.82347235693501</v>
      </c>
      <c r="H33" s="42">
        <f>AVERAGE($H$25,$H$23,$H$30)</f>
        <v>1155.6666666666667</v>
      </c>
      <c r="I33" s="41">
        <v>454.40011760598321</v>
      </c>
      <c r="J33" s="42">
        <f>AVERAGE($J$23,$J$25,$J$26,$J$29)</f>
        <v>552.25</v>
      </c>
      <c r="K33" s="42">
        <f>AVERAGE($K$23,$K$25:$K$26)</f>
        <v>944.66666666666663</v>
      </c>
      <c r="L33" s="42">
        <f>AVERAGE($K$23,$K$25:$K$26)</f>
        <v>944.66666666666663</v>
      </c>
      <c r="M33" s="13">
        <v>50</v>
      </c>
      <c r="N33" s="42">
        <f>AVERAGE(N$23,N$25:N$29)</f>
        <v>544</v>
      </c>
      <c r="P33" s="103"/>
      <c r="Q33" s="102"/>
      <c r="R33" s="102"/>
      <c r="S33" s="102"/>
      <c r="T33" s="102"/>
      <c r="U33" s="102"/>
    </row>
    <row r="34" spans="1:21" ht="14.5" x14ac:dyDescent="0.25">
      <c r="A34" s="87"/>
      <c r="B34" t="s">
        <v>14</v>
      </c>
      <c r="C34" s="43">
        <v>330</v>
      </c>
      <c r="D34" s="13">
        <v>647.5436718118217</v>
      </c>
      <c r="E34" s="13">
        <v>458.38388162954539</v>
      </c>
      <c r="F34" s="13">
        <v>239.9209169017133</v>
      </c>
      <c r="G34" s="13">
        <v>872.92864080535696</v>
      </c>
      <c r="H34" s="41">
        <v>1128</v>
      </c>
      <c r="I34" s="41">
        <v>663.06373462541933</v>
      </c>
      <c r="J34" s="41">
        <v>522</v>
      </c>
      <c r="K34" s="13">
        <v>792</v>
      </c>
      <c r="L34" s="13">
        <v>792</v>
      </c>
      <c r="M34" s="13">
        <v>50</v>
      </c>
      <c r="N34" s="41">
        <v>562</v>
      </c>
      <c r="P34" s="103"/>
      <c r="Q34" s="102"/>
      <c r="R34" s="102"/>
      <c r="S34" s="102"/>
      <c r="T34" s="102"/>
      <c r="U34" s="102"/>
    </row>
    <row r="35" spans="1:21" ht="14.5" x14ac:dyDescent="0.25">
      <c r="A35" s="87"/>
      <c r="B35" t="s">
        <v>12</v>
      </c>
      <c r="C35" s="41">
        <v>163</v>
      </c>
      <c r="D35" s="13">
        <v>142.89974644438851</v>
      </c>
      <c r="E35" s="13">
        <v>389.99177496251241</v>
      </c>
      <c r="F35" s="13">
        <v>192.51158768087981</v>
      </c>
      <c r="G35" s="13">
        <v>297.9256925004085</v>
      </c>
      <c r="H35" s="42">
        <f>AVERAGE($H$25,$H$23,$H$30)</f>
        <v>1155.6666666666667</v>
      </c>
      <c r="I35" s="41">
        <v>318.9842805320435</v>
      </c>
      <c r="J35" s="41">
        <v>484</v>
      </c>
      <c r="K35" s="13">
        <v>1395</v>
      </c>
      <c r="L35" s="13">
        <v>1395</v>
      </c>
      <c r="M35" s="13">
        <v>50</v>
      </c>
      <c r="N35" s="41">
        <v>754</v>
      </c>
      <c r="P35" s="103"/>
      <c r="Q35" s="102"/>
      <c r="R35" s="102"/>
      <c r="S35" s="102"/>
      <c r="T35" s="102"/>
      <c r="U35" s="102"/>
    </row>
    <row r="36" spans="1:21" ht="14.5" x14ac:dyDescent="0.25">
      <c r="A36" s="87"/>
      <c r="B36" t="s">
        <v>10</v>
      </c>
      <c r="C36" s="42">
        <f>AVERAGE($C$23,$C$25,$C$26,$C$29)</f>
        <v>367</v>
      </c>
      <c r="D36" s="13">
        <v>233.45923731642191</v>
      </c>
      <c r="E36" s="42">
        <f>AVERAGE($E$23,$E$25:$E$26,$E$28,$E$29,$E$31)</f>
        <v>413.76340592750824</v>
      </c>
      <c r="F36" s="13">
        <v>247.7020510218872</v>
      </c>
      <c r="G36" s="13">
        <v>503.08994378513432</v>
      </c>
      <c r="H36" s="42">
        <f>AVERAGE($H$25,$H$23,$H$30)</f>
        <v>1155.6666666666667</v>
      </c>
      <c r="I36" s="41">
        <v>411.76907178825491</v>
      </c>
      <c r="J36" s="42">
        <f>AVERAGE($J$23,$J$25,$J$26,$J$29)</f>
        <v>552.25</v>
      </c>
      <c r="K36" s="42">
        <f t="shared" ref="K36:L38" si="1">AVERAGE($K$23,$K$25:$K$26)</f>
        <v>944.66666666666663</v>
      </c>
      <c r="L36" s="42">
        <f t="shared" si="1"/>
        <v>944.66666666666663</v>
      </c>
      <c r="M36" s="13">
        <v>50</v>
      </c>
      <c r="N36" s="41">
        <v>459</v>
      </c>
      <c r="P36" s="103"/>
      <c r="Q36" s="102"/>
      <c r="R36" s="102"/>
      <c r="S36" s="102"/>
      <c r="T36" s="102"/>
      <c r="U36" s="102"/>
    </row>
    <row r="37" spans="1:21" ht="14.5" x14ac:dyDescent="0.25">
      <c r="A37" s="87"/>
      <c r="B37" t="s">
        <v>8</v>
      </c>
      <c r="C37" s="42">
        <f>AVERAGE($C$23,$C$25,$C$26,$C$29)</f>
        <v>367</v>
      </c>
      <c r="D37" s="13">
        <v>416.26934402387889</v>
      </c>
      <c r="E37" s="13">
        <v>212.0197591794485</v>
      </c>
      <c r="F37" s="13">
        <v>298.62864690965762</v>
      </c>
      <c r="G37" s="13">
        <v>314.43606787941457</v>
      </c>
      <c r="H37" s="42">
        <f>AVERAGE($H$25,$H$23,$H$30)</f>
        <v>1155.6666666666667</v>
      </c>
      <c r="I37" s="41">
        <v>199.22688076122512</v>
      </c>
      <c r="J37" s="42">
        <f>AVERAGE($J$23,$J$25,$J$26,$J$29)</f>
        <v>552.25</v>
      </c>
      <c r="K37" s="42">
        <f t="shared" si="1"/>
        <v>944.66666666666663</v>
      </c>
      <c r="L37" s="42">
        <f t="shared" si="1"/>
        <v>944.66666666666663</v>
      </c>
      <c r="M37" s="13">
        <v>50</v>
      </c>
      <c r="N37" s="41">
        <v>407</v>
      </c>
      <c r="P37" s="103"/>
      <c r="Q37" s="102"/>
      <c r="R37" s="102"/>
      <c r="S37" s="102"/>
      <c r="T37" s="102"/>
      <c r="U37" s="102"/>
    </row>
    <row r="38" spans="1:21" ht="14.5" x14ac:dyDescent="0.25">
      <c r="A38" s="87"/>
      <c r="B38" t="s">
        <v>6</v>
      </c>
      <c r="C38" s="41">
        <v>697</v>
      </c>
      <c r="D38" s="13">
        <v>574.98062995694534</v>
      </c>
      <c r="E38" s="13">
        <v>727.07631193811403</v>
      </c>
      <c r="F38" s="13">
        <v>158.02888811589551</v>
      </c>
      <c r="G38" s="13">
        <v>293.24053944082738</v>
      </c>
      <c r="H38" s="42">
        <f>AVERAGE($H$25,$H$23,$H$30)</f>
        <v>1155.6666666666667</v>
      </c>
      <c r="I38" s="41">
        <v>610.87321806059947</v>
      </c>
      <c r="J38" s="41">
        <v>780</v>
      </c>
      <c r="K38" s="42">
        <f t="shared" si="1"/>
        <v>944.66666666666663</v>
      </c>
      <c r="L38" s="42">
        <f t="shared" si="1"/>
        <v>944.66666666666663</v>
      </c>
      <c r="M38" s="13">
        <v>50</v>
      </c>
      <c r="N38" s="41">
        <v>801</v>
      </c>
      <c r="P38" s="103"/>
      <c r="Q38" s="102"/>
      <c r="R38" s="102"/>
      <c r="S38" s="102"/>
      <c r="T38" s="102"/>
      <c r="U38" s="102"/>
    </row>
    <row r="39" spans="1:21" ht="14.5" x14ac:dyDescent="0.25">
      <c r="A39" s="87"/>
      <c r="B39" s="1" t="s">
        <v>4</v>
      </c>
      <c r="C39" s="104">
        <f>AVERAGE($C$23,$C$25,$C$26,$C$29)</f>
        <v>367</v>
      </c>
      <c r="D39" s="13">
        <v>261.77288266040699</v>
      </c>
      <c r="E39" s="42">
        <f>AVERAGE($E$23,$E$25:$E$26,$E$28,$E$29,$E$31)</f>
        <v>413.76340592750824</v>
      </c>
      <c r="F39" s="13">
        <v>307.66966547946367</v>
      </c>
      <c r="G39" s="13">
        <v>462.2575787913413</v>
      </c>
      <c r="H39" s="43">
        <v>1039</v>
      </c>
      <c r="I39" s="43">
        <v>510.04123396456936</v>
      </c>
      <c r="J39" s="104">
        <f>AVERAGE($J$23,$J$25,$J$26,$J$29)</f>
        <v>552.25</v>
      </c>
      <c r="K39" s="13">
        <v>3012</v>
      </c>
      <c r="L39" s="13">
        <v>3012</v>
      </c>
      <c r="M39" s="13">
        <v>50</v>
      </c>
      <c r="N39" s="104">
        <f>AVERAGE(N$23,N$25:N$29)</f>
        <v>544</v>
      </c>
      <c r="P39" s="103"/>
      <c r="Q39" s="102"/>
      <c r="R39" s="102"/>
      <c r="S39" s="102"/>
      <c r="T39" s="102"/>
      <c r="U39" s="102"/>
    </row>
    <row r="40" spans="1:21" ht="14.5" x14ac:dyDescent="0.25">
      <c r="A40" s="85"/>
      <c r="B40" s="82" t="s">
        <v>2</v>
      </c>
      <c r="C40" s="39">
        <f t="shared" ref="C40:N40" si="2">C31*1.2</f>
        <v>474</v>
      </c>
      <c r="D40" s="39">
        <f t="shared" si="2"/>
        <v>321.59999999999997</v>
      </c>
      <c r="E40" s="39">
        <f t="shared" si="2"/>
        <v>522</v>
      </c>
      <c r="F40" s="39">
        <f t="shared" si="2"/>
        <v>286.8</v>
      </c>
      <c r="G40" s="39">
        <f t="shared" si="2"/>
        <v>507.59999999999997</v>
      </c>
      <c r="H40" s="39">
        <f t="shared" si="2"/>
        <v>1003.1999999999999</v>
      </c>
      <c r="I40" s="39">
        <f t="shared" si="2"/>
        <v>633.6</v>
      </c>
      <c r="J40" s="39">
        <f t="shared" si="2"/>
        <v>469.2</v>
      </c>
      <c r="K40" s="39">
        <f t="shared" si="2"/>
        <v>7090.8</v>
      </c>
      <c r="L40" s="39">
        <f t="shared" ref="L40" si="3">L31*1.2</f>
        <v>6654</v>
      </c>
      <c r="M40" s="39">
        <f t="shared" si="2"/>
        <v>60</v>
      </c>
      <c r="N40" s="39">
        <f t="shared" si="2"/>
        <v>980.4</v>
      </c>
      <c r="P40" s="103"/>
      <c r="Q40" s="102"/>
      <c r="R40" s="102"/>
      <c r="S40" s="102"/>
      <c r="T40" s="102"/>
      <c r="U40" s="102"/>
    </row>
    <row r="41" spans="1:21" ht="14.5" x14ac:dyDescent="0.25">
      <c r="A41" s="87" t="s">
        <v>277</v>
      </c>
      <c r="B41" s="1" t="s">
        <v>18</v>
      </c>
      <c r="C41" s="13">
        <v>278</v>
      </c>
      <c r="D41" s="13">
        <v>280.77137350609797</v>
      </c>
      <c r="E41" s="13">
        <v>260.10870785542892</v>
      </c>
      <c r="F41" s="13">
        <v>346.92926119185051</v>
      </c>
      <c r="G41" s="13">
        <v>804.22408812951153</v>
      </c>
      <c r="H41" s="13">
        <v>1300</v>
      </c>
      <c r="I41" s="41">
        <v>589.52099535474895</v>
      </c>
      <c r="J41" s="13">
        <v>423</v>
      </c>
      <c r="K41" s="41">
        <v>647</v>
      </c>
      <c r="L41" s="41">
        <v>647</v>
      </c>
      <c r="M41" s="42">
        <v>50</v>
      </c>
      <c r="N41" s="41">
        <v>281</v>
      </c>
      <c r="P41" s="105"/>
      <c r="Q41" s="102"/>
      <c r="R41" s="102"/>
      <c r="S41" s="102"/>
      <c r="T41" s="102"/>
      <c r="U41" s="102"/>
    </row>
    <row r="42" spans="1:21" x14ac:dyDescent="0.25">
      <c r="A42" s="87"/>
      <c r="B42" s="1" t="s">
        <v>16</v>
      </c>
      <c r="C42" s="42">
        <f>AVERAGE($C$23,$C$25,$C$26,$C$29)</f>
        <v>367</v>
      </c>
      <c r="D42" s="13">
        <v>406.37104289086568</v>
      </c>
      <c r="E42" s="42">
        <f>AVERAGE($E$23,$E$25:$E$26,$E$28,$E$29,$E$31)</f>
        <v>413.76340592750824</v>
      </c>
      <c r="F42" s="13">
        <v>248.4449669259358</v>
      </c>
      <c r="G42" s="13">
        <v>218.82347235693501</v>
      </c>
      <c r="H42" s="42">
        <f>AVERAGE($H$25,$H$23,$H$30)</f>
        <v>1155.6666666666667</v>
      </c>
      <c r="I42" s="41">
        <v>454.40011760598321</v>
      </c>
      <c r="J42" s="42">
        <f>AVERAGE($J$23,$J$25,$J$26,$J$29)</f>
        <v>552.25</v>
      </c>
      <c r="K42" s="42">
        <f>AVERAGE($K$23,$K$25:$K$26)</f>
        <v>944.66666666666663</v>
      </c>
      <c r="L42" s="42">
        <f>AVERAGE($K$23,$K$25:$K$26)</f>
        <v>944.66666666666663</v>
      </c>
      <c r="M42" s="13">
        <v>50</v>
      </c>
      <c r="N42" s="42">
        <f>AVERAGE(N$23,N$25:N$29)</f>
        <v>544</v>
      </c>
    </row>
    <row r="43" spans="1:21" x14ac:dyDescent="0.25">
      <c r="A43" s="87"/>
      <c r="B43" t="s">
        <v>14</v>
      </c>
      <c r="C43" s="43">
        <v>330</v>
      </c>
      <c r="D43" s="13">
        <v>647.5436718118217</v>
      </c>
      <c r="E43" s="13">
        <v>458.38388162954539</v>
      </c>
      <c r="F43" s="13">
        <v>239.9209169017133</v>
      </c>
      <c r="G43" s="13">
        <v>872.92864080535696</v>
      </c>
      <c r="H43" s="41">
        <v>1128</v>
      </c>
      <c r="I43" s="41">
        <v>663.06373462541933</v>
      </c>
      <c r="J43" s="41">
        <v>522</v>
      </c>
      <c r="K43" s="13">
        <v>792</v>
      </c>
      <c r="L43" s="13">
        <v>792</v>
      </c>
      <c r="M43" s="13">
        <v>50</v>
      </c>
      <c r="N43" s="41">
        <v>562</v>
      </c>
    </row>
    <row r="44" spans="1:21" x14ac:dyDescent="0.25">
      <c r="A44" s="87"/>
      <c r="B44" t="s">
        <v>12</v>
      </c>
      <c r="C44" s="41">
        <v>163</v>
      </c>
      <c r="D44" s="13">
        <v>142.89974644438851</v>
      </c>
      <c r="E44" s="13">
        <v>389.99177496251241</v>
      </c>
      <c r="F44" s="13">
        <v>192.51158768087981</v>
      </c>
      <c r="G44" s="13">
        <v>297.9256925004085</v>
      </c>
      <c r="H44" s="42">
        <f>AVERAGE($H$25,$H$23,$H$30)</f>
        <v>1155.6666666666667</v>
      </c>
      <c r="I44" s="41">
        <v>318.9842805320435</v>
      </c>
      <c r="J44" s="41">
        <v>484</v>
      </c>
      <c r="K44" s="13">
        <v>1395</v>
      </c>
      <c r="L44" s="13">
        <v>1395</v>
      </c>
      <c r="M44" s="13">
        <v>50</v>
      </c>
      <c r="N44" s="41">
        <v>754</v>
      </c>
    </row>
    <row r="45" spans="1:21" x14ac:dyDescent="0.25">
      <c r="A45" s="87"/>
      <c r="B45" t="s">
        <v>10</v>
      </c>
      <c r="C45" s="42">
        <f>AVERAGE($C$23,$C$25,$C$26,$C$29)</f>
        <v>367</v>
      </c>
      <c r="D45" s="13">
        <v>233.45923731642191</v>
      </c>
      <c r="E45" s="42">
        <f>AVERAGE($E$23,$E$25:$E$26,$E$28,$E$29,$E$31)</f>
        <v>413.76340592750824</v>
      </c>
      <c r="F45" s="13">
        <v>247.7020510218872</v>
      </c>
      <c r="G45" s="13">
        <v>503.08994378513432</v>
      </c>
      <c r="H45" s="42">
        <f>AVERAGE($H$25,$H$23,$H$30)</f>
        <v>1155.6666666666667</v>
      </c>
      <c r="I45" s="41">
        <v>411.76907178825491</v>
      </c>
      <c r="J45" s="42">
        <f>AVERAGE($J$23,$J$25,$J$26,$J$29)</f>
        <v>552.25</v>
      </c>
      <c r="K45" s="42">
        <f t="shared" ref="K45:L47" si="4">AVERAGE($K$23,$K$25:$K$26)</f>
        <v>944.66666666666663</v>
      </c>
      <c r="L45" s="42">
        <f t="shared" si="4"/>
        <v>944.66666666666663</v>
      </c>
      <c r="M45" s="13">
        <v>50</v>
      </c>
      <c r="N45" s="41">
        <v>459</v>
      </c>
    </row>
    <row r="46" spans="1:21" x14ac:dyDescent="0.25">
      <c r="A46" s="87"/>
      <c r="B46" t="s">
        <v>8</v>
      </c>
      <c r="C46" s="42">
        <f>AVERAGE($C$23,$C$25,$C$26,$C$29)</f>
        <v>367</v>
      </c>
      <c r="D46" s="13">
        <v>416.26934402387889</v>
      </c>
      <c r="E46" s="13">
        <v>212.0197591794485</v>
      </c>
      <c r="F46" s="13">
        <v>298.62864690965762</v>
      </c>
      <c r="G46" s="13">
        <v>314.43606787941457</v>
      </c>
      <c r="H46" s="42">
        <f>AVERAGE($H$25,$H$23,$H$30)</f>
        <v>1155.6666666666667</v>
      </c>
      <c r="I46" s="41">
        <v>199.22688076122512</v>
      </c>
      <c r="J46" s="42">
        <f>AVERAGE($J$23,$J$25,$J$26,$J$29)</f>
        <v>552.25</v>
      </c>
      <c r="K46" s="42">
        <f t="shared" si="4"/>
        <v>944.66666666666663</v>
      </c>
      <c r="L46" s="42">
        <f t="shared" si="4"/>
        <v>944.66666666666663</v>
      </c>
      <c r="M46" s="13">
        <v>50</v>
      </c>
      <c r="N46" s="41">
        <v>407</v>
      </c>
    </row>
    <row r="47" spans="1:21" x14ac:dyDescent="0.25">
      <c r="A47" s="87"/>
      <c r="B47" t="s">
        <v>6</v>
      </c>
      <c r="C47" s="41">
        <v>697</v>
      </c>
      <c r="D47" s="13">
        <v>574.98062995694534</v>
      </c>
      <c r="E47" s="13">
        <v>727.07631193811403</v>
      </c>
      <c r="F47" s="13">
        <v>158.02888811589551</v>
      </c>
      <c r="G47" s="13">
        <v>293.24053944082738</v>
      </c>
      <c r="H47" s="42">
        <f>AVERAGE($H$25,$H$23,$H$30)</f>
        <v>1155.6666666666667</v>
      </c>
      <c r="I47" s="41">
        <v>610.87321806059947</v>
      </c>
      <c r="J47" s="41">
        <v>780</v>
      </c>
      <c r="K47" s="42">
        <f t="shared" si="4"/>
        <v>944.66666666666663</v>
      </c>
      <c r="L47" s="42">
        <f t="shared" si="4"/>
        <v>944.66666666666663</v>
      </c>
      <c r="M47" s="13">
        <v>50</v>
      </c>
      <c r="N47" s="41">
        <v>801</v>
      </c>
    </row>
    <row r="48" spans="1:21" x14ac:dyDescent="0.25">
      <c r="A48" s="87"/>
      <c r="B48" s="1" t="s">
        <v>4</v>
      </c>
      <c r="C48" s="104">
        <f>AVERAGE($C$23,$C$25,$C$26,$C$29)</f>
        <v>367</v>
      </c>
      <c r="D48" s="13">
        <v>261.77288266040699</v>
      </c>
      <c r="E48" s="42">
        <f>AVERAGE($E$23,$E$25:$E$26,$E$28,$E$29,$E$31)</f>
        <v>413.76340592750824</v>
      </c>
      <c r="F48" s="13">
        <v>307.66966547946367</v>
      </c>
      <c r="G48" s="13">
        <v>462.2575787913413</v>
      </c>
      <c r="H48" s="43">
        <v>1039</v>
      </c>
      <c r="I48" s="43">
        <v>510.04123396456936</v>
      </c>
      <c r="J48" s="104">
        <f>AVERAGE($J$23,$J$25,$J$26,$J$29)</f>
        <v>552.25</v>
      </c>
      <c r="K48" s="13">
        <v>3012</v>
      </c>
      <c r="L48" s="13">
        <v>3012</v>
      </c>
      <c r="M48" s="13">
        <v>50</v>
      </c>
      <c r="N48" s="104">
        <f>AVERAGE(N$23,N$25:N$29)</f>
        <v>544</v>
      </c>
      <c r="O48" s="1"/>
      <c r="P48" s="1"/>
    </row>
    <row r="49" spans="1:16" x14ac:dyDescent="0.25">
      <c r="A49" s="85"/>
      <c r="B49" s="82" t="s">
        <v>2</v>
      </c>
      <c r="C49" s="39">
        <f>C31*0.8</f>
        <v>316</v>
      </c>
      <c r="D49" s="39">
        <f t="shared" ref="D49:N49" si="5">D31*0.8</f>
        <v>214.4</v>
      </c>
      <c r="E49" s="39">
        <f t="shared" si="5"/>
        <v>348</v>
      </c>
      <c r="F49" s="39">
        <f t="shared" si="5"/>
        <v>191.20000000000002</v>
      </c>
      <c r="G49" s="39">
        <f t="shared" si="5"/>
        <v>338.40000000000003</v>
      </c>
      <c r="H49" s="39">
        <f t="shared" si="5"/>
        <v>668.80000000000007</v>
      </c>
      <c r="I49" s="39">
        <f t="shared" si="5"/>
        <v>422.40000000000003</v>
      </c>
      <c r="J49" s="39">
        <f t="shared" si="5"/>
        <v>312.8</v>
      </c>
      <c r="K49" s="39">
        <f t="shared" si="5"/>
        <v>4727.2</v>
      </c>
      <c r="L49" s="39">
        <f t="shared" ref="L49" si="6">L31*0.8</f>
        <v>4436</v>
      </c>
      <c r="M49" s="39">
        <f t="shared" si="5"/>
        <v>40</v>
      </c>
      <c r="N49" s="39">
        <f t="shared" si="5"/>
        <v>653.6</v>
      </c>
      <c r="O49" s="1"/>
      <c r="P49" s="1"/>
    </row>
    <row r="54" spans="1:16" ht="14.5" x14ac:dyDescent="0.25">
      <c r="G54" s="143"/>
      <c r="H54" s="143"/>
      <c r="I54" s="143"/>
      <c r="J54" s="143"/>
      <c r="K54" s="143"/>
      <c r="L54" s="143"/>
      <c r="M54" s="143"/>
      <c r="N54" s="143"/>
    </row>
    <row r="55" spans="1:16" ht="14.5" x14ac:dyDescent="0.35">
      <c r="G55" s="142"/>
      <c r="H55" s="142"/>
      <c r="I55" s="142"/>
      <c r="J55" s="142"/>
      <c r="K55" s="142"/>
      <c r="L55" s="142"/>
      <c r="M55" s="142"/>
      <c r="N55" s="142"/>
    </row>
    <row r="56" spans="1:16" x14ac:dyDescent="0.25">
      <c r="G56" s="1"/>
      <c r="H56" s="1"/>
      <c r="I56" s="1"/>
      <c r="J56" s="1"/>
      <c r="K56" s="1"/>
      <c r="L56" s="1"/>
      <c r="M56" s="1"/>
      <c r="N56" s="1"/>
    </row>
    <row r="57" spans="1:16" ht="14.5" x14ac:dyDescent="0.35">
      <c r="G57" s="143"/>
      <c r="H57" s="142"/>
      <c r="I57" s="1"/>
      <c r="J57" s="1"/>
      <c r="K57" s="1"/>
      <c r="L57" s="1"/>
      <c r="M57" s="1"/>
      <c r="N57" s="1"/>
    </row>
    <row r="58" spans="1:16" ht="14.5" x14ac:dyDescent="0.35">
      <c r="G58" s="143"/>
      <c r="H58" s="142"/>
      <c r="I58" s="1"/>
      <c r="J58" s="1"/>
      <c r="K58" s="1"/>
      <c r="L58" s="1"/>
      <c r="M58" s="1"/>
      <c r="N58" s="1"/>
    </row>
    <row r="59" spans="1:16" ht="14.5" x14ac:dyDescent="0.35">
      <c r="G59" s="143"/>
      <c r="H59" s="142"/>
      <c r="I59" s="1"/>
      <c r="J59" s="1"/>
      <c r="K59" s="1"/>
      <c r="L59" s="1"/>
      <c r="M59" s="1"/>
      <c r="N59" s="1"/>
    </row>
    <row r="60" spans="1:16" ht="14.5" x14ac:dyDescent="0.35">
      <c r="G60" s="143"/>
      <c r="H60" s="142"/>
      <c r="I60" s="1"/>
      <c r="J60" s="1"/>
      <c r="K60" s="1"/>
      <c r="L60" s="1"/>
      <c r="M60" s="1"/>
      <c r="N60" s="1"/>
    </row>
    <row r="61" spans="1:16" ht="14.5" x14ac:dyDescent="0.35">
      <c r="G61" s="143"/>
      <c r="H61" s="142"/>
      <c r="I61" s="1"/>
      <c r="J61" s="1"/>
      <c r="K61" s="1"/>
      <c r="L61" s="1"/>
      <c r="M61" s="1"/>
      <c r="N61" s="1"/>
    </row>
    <row r="62" spans="1:16" ht="14.5" x14ac:dyDescent="0.35">
      <c r="G62" s="143"/>
      <c r="H62" s="142"/>
      <c r="I62" s="1"/>
      <c r="J62" s="1"/>
      <c r="K62" s="1"/>
      <c r="L62" s="1"/>
      <c r="M62" s="1"/>
      <c r="N62" s="1"/>
    </row>
    <row r="63" spans="1:16" ht="14.5" x14ac:dyDescent="0.35">
      <c r="G63" s="143"/>
      <c r="H63" s="142"/>
      <c r="I63" s="1"/>
      <c r="J63" s="1"/>
      <c r="K63" s="1"/>
      <c r="L63" s="1"/>
      <c r="M63" s="1"/>
      <c r="N63" s="1"/>
    </row>
    <row r="64" spans="1:16" ht="14.5" x14ac:dyDescent="0.35">
      <c r="G64" s="143"/>
      <c r="H64" s="142"/>
      <c r="I64" s="1"/>
      <c r="J64" s="1"/>
      <c r="K64" s="1"/>
      <c r="L64" s="1"/>
      <c r="M64" s="1"/>
      <c r="N64" s="1"/>
    </row>
  </sheetData>
  <hyperlinks>
    <hyperlink ref="A11" r:id="rId1"/>
    <hyperlink ref="A13" r:id="rId2" location="/dataset/domestic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workbookViewId="0">
      <selection activeCell="A22" sqref="A22"/>
    </sheetView>
  </sheetViews>
  <sheetFormatPr defaultRowHeight="11.5" x14ac:dyDescent="0.25"/>
  <cols>
    <col min="1" max="1" width="13.453125" customWidth="1"/>
    <col min="2" max="2" width="14.90625" customWidth="1"/>
  </cols>
  <sheetData>
    <row r="1" spans="1:20" ht="19.5" x14ac:dyDescent="0.35">
      <c r="A1" s="101" t="s">
        <v>196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152" t="s">
        <v>195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B3" s="89"/>
      <c r="C3" s="23"/>
      <c r="D3" s="23"/>
      <c r="E3" s="23"/>
      <c r="F3" s="8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8"/>
      <c r="N4" s="97"/>
    </row>
    <row r="5" spans="1:20" x14ac:dyDescent="0.25"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2"/>
      <c r="N5" s="92"/>
    </row>
    <row r="6" spans="1:20" x14ac:dyDescent="0.25">
      <c r="A6" s="2" t="s">
        <v>327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2"/>
      <c r="N6" s="92"/>
    </row>
    <row r="7" spans="1:20" x14ac:dyDescent="0.25">
      <c r="A7" s="2" t="s">
        <v>328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2"/>
      <c r="N7" s="92"/>
    </row>
    <row r="8" spans="1:20" x14ac:dyDescent="0.25">
      <c r="A8" s="2" t="s">
        <v>190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2"/>
      <c r="N8" s="92"/>
    </row>
    <row r="9" spans="1:20" x14ac:dyDescent="0.25">
      <c r="A9" s="2" t="s">
        <v>326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52"/>
      <c r="N9" s="92"/>
    </row>
    <row r="10" spans="1:20" x14ac:dyDescent="0.25">
      <c r="A10" s="2" t="s">
        <v>323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2"/>
      <c r="N10" s="92"/>
    </row>
    <row r="11" spans="1:20" x14ac:dyDescent="0.25">
      <c r="A11" s="95" t="s">
        <v>191</v>
      </c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2"/>
      <c r="N11" s="92"/>
    </row>
    <row r="12" spans="1:20" x14ac:dyDescent="0.25">
      <c r="A12" s="124" t="s">
        <v>324</v>
      </c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2"/>
      <c r="N12" s="92"/>
    </row>
    <row r="13" spans="1:20" x14ac:dyDescent="0.25">
      <c r="A13" s="95" t="s">
        <v>325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2"/>
      <c r="N13" s="92"/>
    </row>
    <row r="14" spans="1:20" x14ac:dyDescent="0.25"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2"/>
      <c r="N14" s="92"/>
    </row>
    <row r="15" spans="1:20" x14ac:dyDescent="0.25">
      <c r="A15" s="15" t="s">
        <v>329</v>
      </c>
      <c r="E15" s="92"/>
      <c r="F15" s="93"/>
      <c r="G15" s="2"/>
      <c r="H15" s="2"/>
      <c r="I15" s="2"/>
      <c r="J15" s="2"/>
      <c r="K15" s="2"/>
      <c r="L15" s="2"/>
      <c r="M15" s="2"/>
      <c r="N15" s="92"/>
    </row>
    <row r="16" spans="1:20" x14ac:dyDescent="0.25">
      <c r="A16" s="151" t="s">
        <v>331</v>
      </c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2"/>
      <c r="N16" s="92"/>
    </row>
    <row r="17" spans="1:25" x14ac:dyDescent="0.25">
      <c r="A17" s="106"/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2"/>
      <c r="N17" s="92"/>
    </row>
    <row r="18" spans="1:25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82"/>
      <c r="N18" s="90"/>
    </row>
    <row r="19" spans="1:25" x14ac:dyDescent="0.25">
      <c r="B19" s="89"/>
      <c r="C19" s="23"/>
      <c r="D19" s="23"/>
      <c r="E19" s="23"/>
      <c r="F19" s="88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5" ht="46" x14ac:dyDescent="0.25">
      <c r="A20" s="149" t="s">
        <v>313</v>
      </c>
      <c r="B20" s="75"/>
      <c r="C20" s="74" t="s">
        <v>188</v>
      </c>
      <c r="D20" s="74" t="s">
        <v>188</v>
      </c>
      <c r="E20" s="74" t="s">
        <v>188</v>
      </c>
      <c r="F20" s="74" t="s">
        <v>188</v>
      </c>
      <c r="G20" s="74" t="s">
        <v>188</v>
      </c>
      <c r="H20" s="74" t="s">
        <v>321</v>
      </c>
      <c r="I20" s="74" t="s">
        <v>188</v>
      </c>
      <c r="J20" s="74" t="s">
        <v>188</v>
      </c>
      <c r="K20" s="74" t="s">
        <v>188</v>
      </c>
      <c r="L20" s="74" t="s">
        <v>189</v>
      </c>
      <c r="M20" s="74" t="s">
        <v>188</v>
      </c>
      <c r="N20" s="23"/>
      <c r="O20" s="23"/>
      <c r="P20" s="23"/>
      <c r="Q20" s="23"/>
      <c r="R20" s="23"/>
      <c r="S20" s="23"/>
      <c r="T20" s="23"/>
    </row>
    <row r="21" spans="1:25" x14ac:dyDescent="0.25">
      <c r="B21" s="75" t="s">
        <v>322</v>
      </c>
      <c r="C21" s="72" t="s">
        <v>183</v>
      </c>
      <c r="D21" s="70"/>
      <c r="E21" s="70"/>
      <c r="F21" s="70"/>
      <c r="G21" s="70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5" ht="12" thickBot="1" x14ac:dyDescent="0.3">
      <c r="A22" s="67" t="s">
        <v>356</v>
      </c>
      <c r="B22" s="46" t="s">
        <v>194</v>
      </c>
      <c r="C22" s="22" t="s">
        <v>122</v>
      </c>
      <c r="D22" s="22" t="s">
        <v>121</v>
      </c>
      <c r="E22" s="22" t="s">
        <v>120</v>
      </c>
      <c r="F22" s="22" t="s">
        <v>119</v>
      </c>
      <c r="G22" s="22" t="s">
        <v>118</v>
      </c>
      <c r="H22" s="22" t="s">
        <v>117</v>
      </c>
      <c r="I22" s="22" t="s">
        <v>116</v>
      </c>
      <c r="J22" s="22" t="s">
        <v>115</v>
      </c>
      <c r="K22" s="22" t="s">
        <v>114</v>
      </c>
      <c r="L22" s="22" t="s">
        <v>300</v>
      </c>
      <c r="M22" s="22" t="s">
        <v>113</v>
      </c>
      <c r="N22" s="22" t="s">
        <v>112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62" t="s">
        <v>150</v>
      </c>
      <c r="B23" s="1" t="s">
        <v>17</v>
      </c>
      <c r="C23" s="13">
        <v>278</v>
      </c>
      <c r="D23" s="13">
        <v>280.77137350609797</v>
      </c>
      <c r="E23" s="13">
        <v>260.10870785542892</v>
      </c>
      <c r="F23" s="13">
        <v>346.92926119185051</v>
      </c>
      <c r="G23" s="13">
        <v>804.22408812951153</v>
      </c>
      <c r="H23" s="13">
        <v>1300</v>
      </c>
      <c r="I23" s="41">
        <v>589.52099535474895</v>
      </c>
      <c r="J23" s="13">
        <v>423</v>
      </c>
      <c r="K23" s="13">
        <v>1712.2716627634659</v>
      </c>
      <c r="L23" s="13">
        <v>2045</v>
      </c>
      <c r="M23" s="42">
        <v>50</v>
      </c>
      <c r="N23" s="41">
        <v>281</v>
      </c>
      <c r="O23" s="2"/>
      <c r="P23" s="43"/>
      <c r="Q23" s="43"/>
      <c r="R23" s="43"/>
      <c r="S23" s="43"/>
      <c r="T23" s="43"/>
      <c r="U23" s="43"/>
      <c r="V23" s="43"/>
      <c r="W23" s="43"/>
      <c r="X23" s="43"/>
      <c r="Y23" s="2"/>
    </row>
    <row r="24" spans="1:25" x14ac:dyDescent="0.25">
      <c r="A24" s="62"/>
      <c r="B24" s="1" t="s">
        <v>15</v>
      </c>
      <c r="C24" s="42">
        <v>367</v>
      </c>
      <c r="D24" s="43">
        <v>406.37104289086568</v>
      </c>
      <c r="E24" s="104">
        <v>413.76340592750824</v>
      </c>
      <c r="F24" s="43">
        <v>248.4449669259358</v>
      </c>
      <c r="G24" s="43">
        <v>218.82347235693501</v>
      </c>
      <c r="H24" s="42">
        <v>1155.6666666666667</v>
      </c>
      <c r="I24" s="41">
        <v>454.40011760598321</v>
      </c>
      <c r="J24" s="42">
        <v>552.25</v>
      </c>
      <c r="K24" s="13">
        <v>5908.5714285714284</v>
      </c>
      <c r="L24" s="13">
        <v>3702.9177718832889</v>
      </c>
      <c r="M24" s="13">
        <v>50</v>
      </c>
      <c r="N24" s="42">
        <v>544</v>
      </c>
      <c r="O24" s="2"/>
      <c r="P24" s="43"/>
      <c r="Q24" s="43"/>
      <c r="R24" s="43"/>
      <c r="S24" s="43"/>
      <c r="T24" s="43"/>
      <c r="U24" s="43"/>
      <c r="V24" s="43"/>
      <c r="W24" s="43"/>
      <c r="X24" s="43"/>
      <c r="Y24" s="2"/>
    </row>
    <row r="25" spans="1:25" x14ac:dyDescent="0.25">
      <c r="A25" s="62"/>
      <c r="B25" t="s">
        <v>13</v>
      </c>
      <c r="C25" s="43">
        <v>330</v>
      </c>
      <c r="D25" s="43">
        <v>647.5436718118217</v>
      </c>
      <c r="E25" s="43">
        <v>458.38388162954539</v>
      </c>
      <c r="F25" s="43">
        <v>239.9209169017133</v>
      </c>
      <c r="G25" s="43">
        <v>872.92864080535696</v>
      </c>
      <c r="H25" s="41">
        <v>1128</v>
      </c>
      <c r="I25" s="41">
        <v>663.06373462541933</v>
      </c>
      <c r="J25" s="41">
        <v>522</v>
      </c>
      <c r="K25" s="13">
        <v>2936.1804212183674</v>
      </c>
      <c r="L25" s="13">
        <v>4197.2925699359503</v>
      </c>
      <c r="M25" s="13">
        <v>50</v>
      </c>
      <c r="N25" s="41">
        <v>562</v>
      </c>
      <c r="O25" s="2"/>
      <c r="P25" s="43"/>
      <c r="Q25" s="43"/>
      <c r="R25" s="43"/>
      <c r="S25" s="43"/>
      <c r="T25" s="43"/>
      <c r="U25" s="43"/>
      <c r="V25" s="43"/>
      <c r="W25" s="43"/>
      <c r="X25" s="43"/>
      <c r="Y25" s="2"/>
    </row>
    <row r="26" spans="1:25" x14ac:dyDescent="0.25">
      <c r="A26" s="62"/>
      <c r="B26" t="s">
        <v>11</v>
      </c>
      <c r="C26" s="41">
        <v>163</v>
      </c>
      <c r="D26" s="43">
        <v>142.89974644438851</v>
      </c>
      <c r="E26" s="43">
        <v>389.99177496251241</v>
      </c>
      <c r="F26" s="43">
        <v>192.51158768087981</v>
      </c>
      <c r="G26" s="43">
        <v>297.9256925004085</v>
      </c>
      <c r="H26" s="42">
        <v>1155.6666666666667</v>
      </c>
      <c r="I26" s="41">
        <v>318.9842805320435</v>
      </c>
      <c r="J26" s="41">
        <v>484</v>
      </c>
      <c r="K26" s="13">
        <v>2521.0004231112785</v>
      </c>
      <c r="L26" s="13">
        <v>4178.9525641749951</v>
      </c>
      <c r="M26" s="13">
        <v>50</v>
      </c>
      <c r="N26" s="41">
        <v>754</v>
      </c>
      <c r="O26" s="2"/>
      <c r="P26" s="43"/>
      <c r="Q26" s="43"/>
      <c r="R26" s="43"/>
      <c r="S26" s="43"/>
      <c r="T26" s="43"/>
      <c r="U26" s="43"/>
      <c r="V26" s="43"/>
      <c r="W26" s="43"/>
      <c r="X26" s="43"/>
      <c r="Y26" s="2"/>
    </row>
    <row r="27" spans="1:25" x14ac:dyDescent="0.25">
      <c r="A27" s="62"/>
      <c r="B27" t="s">
        <v>9</v>
      </c>
      <c r="C27" s="42">
        <v>367</v>
      </c>
      <c r="D27" s="43">
        <v>233.45923731642191</v>
      </c>
      <c r="E27" s="104">
        <v>413.76340592750824</v>
      </c>
      <c r="F27" s="43">
        <v>247.7020510218872</v>
      </c>
      <c r="G27" s="43">
        <v>503.08994378513432</v>
      </c>
      <c r="H27" s="42">
        <v>1155.6666666666667</v>
      </c>
      <c r="I27" s="41">
        <v>411.76907178825491</v>
      </c>
      <c r="J27" s="42">
        <v>552.25</v>
      </c>
      <c r="K27" s="13">
        <v>3553.7453812562981</v>
      </c>
      <c r="L27" s="13">
        <v>2862.3853211009182</v>
      </c>
      <c r="M27" s="13">
        <v>50</v>
      </c>
      <c r="N27" s="41">
        <v>459</v>
      </c>
      <c r="O27" s="2"/>
      <c r="P27" s="43"/>
      <c r="Q27" s="43"/>
      <c r="R27" s="43"/>
      <c r="S27" s="43"/>
      <c r="T27" s="43"/>
      <c r="U27" s="43"/>
      <c r="V27" s="43"/>
      <c r="W27" s="43"/>
      <c r="X27" s="43"/>
      <c r="Y27" s="2"/>
    </row>
    <row r="28" spans="1:25" x14ac:dyDescent="0.25">
      <c r="A28" s="62"/>
      <c r="B28" t="s">
        <v>193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1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2"/>
      <c r="P28" s="43"/>
      <c r="Q28" s="43"/>
      <c r="R28" s="43"/>
      <c r="S28" s="43"/>
      <c r="T28" s="43"/>
      <c r="U28" s="43"/>
      <c r="V28" s="43"/>
      <c r="W28" s="43"/>
      <c r="X28" s="43"/>
      <c r="Y28" s="2"/>
    </row>
    <row r="29" spans="1:25" x14ac:dyDescent="0.25">
      <c r="A29" s="62"/>
      <c r="B29" t="s">
        <v>7</v>
      </c>
      <c r="C29" s="42">
        <v>367</v>
      </c>
      <c r="D29" s="43">
        <v>416.26934402387889</v>
      </c>
      <c r="E29" s="43">
        <v>212.0197591794485</v>
      </c>
      <c r="F29" s="43">
        <v>298.62864690965762</v>
      </c>
      <c r="G29" s="43">
        <v>314.43606787941457</v>
      </c>
      <c r="H29" s="42">
        <v>1155.6666666666667</v>
      </c>
      <c r="I29" s="41">
        <v>199.22688076122512</v>
      </c>
      <c r="J29" s="42">
        <v>552.25</v>
      </c>
      <c r="K29" s="13">
        <v>2381.8195687718071</v>
      </c>
      <c r="L29" s="13">
        <v>2970</v>
      </c>
      <c r="M29" s="13">
        <v>50</v>
      </c>
      <c r="N29" s="41">
        <v>407</v>
      </c>
      <c r="O29" s="2"/>
      <c r="P29" s="43"/>
      <c r="Q29" s="43"/>
      <c r="R29" s="43"/>
      <c r="S29" s="43"/>
      <c r="T29" s="43"/>
      <c r="U29" s="43"/>
      <c r="V29" s="43"/>
      <c r="W29" s="43"/>
      <c r="X29" s="43"/>
      <c r="Y29" s="2"/>
    </row>
    <row r="30" spans="1:25" x14ac:dyDescent="0.25">
      <c r="A30" s="62"/>
      <c r="B30" t="s">
        <v>5</v>
      </c>
      <c r="C30" s="41">
        <v>697</v>
      </c>
      <c r="D30" s="43">
        <v>574.98062995694534</v>
      </c>
      <c r="E30" s="43">
        <v>727.07631193811403</v>
      </c>
      <c r="F30" s="43">
        <v>158.02888811589551</v>
      </c>
      <c r="G30" s="43">
        <v>293.24053944082738</v>
      </c>
      <c r="H30" s="42">
        <v>1155.6666666666667</v>
      </c>
      <c r="I30" s="41">
        <v>610.87321806059947</v>
      </c>
      <c r="J30" s="41">
        <v>780</v>
      </c>
      <c r="K30" s="13">
        <v>2735.6439156752244</v>
      </c>
      <c r="L30" s="13">
        <v>3866.0252466842189</v>
      </c>
      <c r="M30" s="13">
        <v>50</v>
      </c>
      <c r="N30" s="41">
        <v>801</v>
      </c>
      <c r="O30" s="2"/>
      <c r="P30" s="43"/>
      <c r="Q30" s="43"/>
      <c r="R30" s="43"/>
      <c r="S30" s="43"/>
      <c r="T30" s="43"/>
      <c r="U30" s="43"/>
      <c r="V30" s="43"/>
      <c r="W30" s="43"/>
      <c r="X30" s="43"/>
      <c r="Y30" s="2"/>
    </row>
    <row r="31" spans="1:25" x14ac:dyDescent="0.25">
      <c r="A31" s="62"/>
      <c r="B31" t="s">
        <v>3</v>
      </c>
      <c r="C31" s="41">
        <v>367</v>
      </c>
      <c r="D31" s="43">
        <v>261.77288266040699</v>
      </c>
      <c r="E31" s="104">
        <v>413.76340592750824</v>
      </c>
      <c r="F31" s="43">
        <v>307.66966547946367</v>
      </c>
      <c r="G31" s="43">
        <v>462.2575787913413</v>
      </c>
      <c r="H31" s="42">
        <v>1039</v>
      </c>
      <c r="I31" s="41">
        <v>510.04123396456936</v>
      </c>
      <c r="J31" s="41">
        <v>552.25</v>
      </c>
      <c r="K31" s="13">
        <v>2194.1098646517871</v>
      </c>
      <c r="L31" s="13">
        <v>5544.9657838242802</v>
      </c>
      <c r="M31" s="13">
        <v>50</v>
      </c>
      <c r="N31" s="42">
        <v>544</v>
      </c>
      <c r="O31" s="2"/>
      <c r="P31" s="43"/>
      <c r="Q31" s="43"/>
      <c r="R31" s="43"/>
      <c r="S31" s="43"/>
      <c r="T31" s="43"/>
      <c r="U31" s="43"/>
      <c r="V31" s="43"/>
      <c r="W31" s="43"/>
      <c r="X31" s="43"/>
      <c r="Y31" s="2"/>
    </row>
    <row r="32" spans="1:25" x14ac:dyDescent="0.25">
      <c r="A32" s="56"/>
      <c r="B32" s="37" t="s">
        <v>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4" spans="1:15" x14ac:dyDescent="0.25">
      <c r="A34" s="2"/>
      <c r="B34" s="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2"/>
    </row>
    <row r="35" spans="1:15" x14ac:dyDescent="0.25">
      <c r="A35" s="2"/>
      <c r="B35" s="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2"/>
    </row>
    <row r="36" spans="1:15" x14ac:dyDescent="0.25">
      <c r="A36" s="2"/>
      <c r="B36" s="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2"/>
    </row>
    <row r="37" spans="1:15" x14ac:dyDescent="0.25">
      <c r="A37" s="2"/>
      <c r="B37" s="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2"/>
    </row>
    <row r="38" spans="1:15" x14ac:dyDescent="0.25">
      <c r="A38" s="2"/>
      <c r="B38" s="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2"/>
    </row>
    <row r="39" spans="1:15" x14ac:dyDescent="0.25">
      <c r="A39" s="2"/>
      <c r="B39" s="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2"/>
    </row>
    <row r="40" spans="1:15" x14ac:dyDescent="0.25">
      <c r="A40" s="2"/>
      <c r="B40" s="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2"/>
    </row>
    <row r="41" spans="1:15" x14ac:dyDescent="0.25">
      <c r="A41" s="2"/>
      <c r="B41" s="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hyperlinks>
    <hyperlink ref="A11" r:id="rId1"/>
    <hyperlink ref="A13" r:id="rId2" location="/dataset/domesti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9"/>
  <sheetViews>
    <sheetView showGridLines="0" topLeftCell="A16" zoomScaleNormal="100" workbookViewId="0">
      <selection activeCell="F23" sqref="F23"/>
    </sheetView>
  </sheetViews>
  <sheetFormatPr defaultRowHeight="11.5" x14ac:dyDescent="0.25"/>
  <cols>
    <col min="1" max="1" width="15.7265625" customWidth="1"/>
    <col min="2" max="2" width="17.7265625" customWidth="1"/>
    <col min="3" max="3" width="14.90625" customWidth="1"/>
    <col min="4" max="4" width="14.26953125" customWidth="1"/>
    <col min="5" max="5" width="13.6328125" customWidth="1"/>
  </cols>
  <sheetData>
    <row r="1" spans="1:102" ht="19.5" x14ac:dyDescent="0.35">
      <c r="A1" s="8" t="s">
        <v>229</v>
      </c>
    </row>
    <row r="2" spans="1:102" x14ac:dyDescent="0.25">
      <c r="A2" s="6" t="s">
        <v>228</v>
      </c>
      <c r="C2" s="7"/>
      <c r="E2" s="2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2" x14ac:dyDescent="0.25">
      <c r="E3" s="2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</row>
    <row r="4" spans="1:102" x14ac:dyDescent="0.25">
      <c r="A4" s="100" t="s">
        <v>176</v>
      </c>
      <c r="B4" s="98"/>
      <c r="C4" s="98"/>
      <c r="D4" s="98"/>
      <c r="E4" s="9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</row>
    <row r="5" spans="1:102" x14ac:dyDescent="0.25">
      <c r="B5" s="2"/>
      <c r="C5" s="2"/>
      <c r="D5" s="2"/>
      <c r="E5" s="9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</row>
    <row r="6" spans="1:102" x14ac:dyDescent="0.25">
      <c r="A6" s="2" t="s">
        <v>336</v>
      </c>
      <c r="B6" s="2"/>
      <c r="C6" s="2"/>
      <c r="D6" s="2"/>
      <c r="E6" s="9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</row>
    <row r="7" spans="1:102" ht="14" x14ac:dyDescent="0.25">
      <c r="A7" s="153" t="s">
        <v>337</v>
      </c>
      <c r="B7" s="2"/>
      <c r="C7" s="2"/>
      <c r="D7" s="2"/>
      <c r="E7" s="9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</row>
    <row r="8" spans="1:102" x14ac:dyDescent="0.25">
      <c r="A8" s="2"/>
      <c r="B8" s="2"/>
      <c r="C8" s="2"/>
      <c r="D8" s="2"/>
      <c r="E8" s="9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</row>
    <row r="9" spans="1:102" x14ac:dyDescent="0.25">
      <c r="A9" s="2"/>
      <c r="B9" s="2"/>
      <c r="C9" s="2"/>
      <c r="D9" s="2"/>
      <c r="E9" s="9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</row>
    <row r="10" spans="1:102" x14ac:dyDescent="0.25">
      <c r="A10" s="2"/>
      <c r="B10" s="2"/>
      <c r="C10" s="2"/>
      <c r="D10" s="2"/>
      <c r="E10" s="9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</row>
    <row r="11" spans="1:102" x14ac:dyDescent="0.25">
      <c r="A11" s="95"/>
      <c r="B11" s="2"/>
      <c r="C11" s="2"/>
      <c r="D11" s="2"/>
      <c r="E11" s="9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</row>
    <row r="12" spans="1:102" x14ac:dyDescent="0.25">
      <c r="A12" s="124"/>
      <c r="B12" s="2"/>
      <c r="C12" s="2"/>
      <c r="D12" s="2"/>
      <c r="E12" s="9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</row>
    <row r="13" spans="1:102" x14ac:dyDescent="0.25">
      <c r="A13" s="95"/>
      <c r="B13" s="2"/>
      <c r="C13" s="2"/>
      <c r="D13" s="2"/>
      <c r="E13" s="9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</row>
    <row r="14" spans="1:102" x14ac:dyDescent="0.25">
      <c r="A14" s="2"/>
      <c r="B14" s="2"/>
      <c r="C14" s="2"/>
      <c r="D14" s="2"/>
      <c r="E14" s="9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</row>
    <row r="15" spans="1:102" x14ac:dyDescent="0.25">
      <c r="A15" s="2"/>
      <c r="E15" s="9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</row>
    <row r="16" spans="1:102" x14ac:dyDescent="0.25">
      <c r="A16" s="125"/>
      <c r="B16" s="2"/>
      <c r="C16" s="2"/>
      <c r="D16" s="2"/>
      <c r="E16" s="9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</row>
    <row r="17" spans="1:102" x14ac:dyDescent="0.25">
      <c r="A17" s="106"/>
      <c r="B17" s="2"/>
      <c r="C17" s="2"/>
      <c r="D17" s="2"/>
      <c r="E17" s="9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</row>
    <row r="18" spans="1:102" x14ac:dyDescent="0.25">
      <c r="A18" s="82"/>
      <c r="B18" s="82"/>
      <c r="C18" s="82"/>
      <c r="D18" s="82"/>
      <c r="E18" s="9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</row>
    <row r="19" spans="1:102" x14ac:dyDescent="0.25"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</row>
    <row r="20" spans="1:102" ht="39.65" customHeight="1" x14ac:dyDescent="0.25">
      <c r="A20" s="4" t="s">
        <v>184</v>
      </c>
      <c r="B20" s="109" t="s">
        <v>333</v>
      </c>
      <c r="C20" s="109" t="s">
        <v>334</v>
      </c>
      <c r="D20" s="109" t="s">
        <v>335</v>
      </c>
      <c r="E20" s="109"/>
    </row>
    <row r="21" spans="1:102" x14ac:dyDescent="0.25">
      <c r="A21" s="4" t="s">
        <v>22</v>
      </c>
      <c r="B21" s="108" t="s">
        <v>158</v>
      </c>
      <c r="C21" s="108" t="s">
        <v>158</v>
      </c>
      <c r="D21" s="108" t="s">
        <v>344</v>
      </c>
      <c r="E21" s="108"/>
    </row>
    <row r="22" spans="1:102" x14ac:dyDescent="0.25">
      <c r="A22" s="107" t="s">
        <v>227</v>
      </c>
      <c r="B22" s="2" t="s">
        <v>226</v>
      </c>
      <c r="C22" s="2" t="s">
        <v>225</v>
      </c>
      <c r="D22" s="2" t="s">
        <v>224</v>
      </c>
      <c r="E22" s="2"/>
    </row>
    <row r="23" spans="1:102" x14ac:dyDescent="0.25">
      <c r="A23" t="s">
        <v>223</v>
      </c>
      <c r="B23" t="s">
        <v>14</v>
      </c>
      <c r="C23" t="s">
        <v>12</v>
      </c>
      <c r="D23" s="2">
        <v>0.01</v>
      </c>
      <c r="E23" s="2"/>
    </row>
    <row r="24" spans="1:102" x14ac:dyDescent="0.25">
      <c r="A24" t="s">
        <v>222</v>
      </c>
      <c r="B24" t="s">
        <v>12</v>
      </c>
      <c r="C24" t="s">
        <v>14</v>
      </c>
      <c r="D24" s="2">
        <v>0.01</v>
      </c>
      <c r="E24" s="2"/>
    </row>
    <row r="25" spans="1:102" x14ac:dyDescent="0.25">
      <c r="A25" t="s">
        <v>221</v>
      </c>
      <c r="B25" t="s">
        <v>6</v>
      </c>
      <c r="C25" t="s">
        <v>4</v>
      </c>
      <c r="D25" s="2">
        <v>0.01</v>
      </c>
      <c r="E25" s="2"/>
    </row>
    <row r="26" spans="1:102" x14ac:dyDescent="0.25">
      <c r="A26" t="s">
        <v>220</v>
      </c>
      <c r="B26" t="s">
        <v>4</v>
      </c>
      <c r="C26" t="s">
        <v>6</v>
      </c>
      <c r="D26" s="2">
        <v>0.01</v>
      </c>
      <c r="E26" s="2"/>
    </row>
    <row r="27" spans="1:102" x14ac:dyDescent="0.25">
      <c r="A27" t="s">
        <v>219</v>
      </c>
      <c r="B27" t="s">
        <v>4</v>
      </c>
      <c r="C27" t="s">
        <v>12</v>
      </c>
      <c r="D27" s="2">
        <v>0.01</v>
      </c>
      <c r="E27" s="2"/>
    </row>
    <row r="28" spans="1:102" x14ac:dyDescent="0.25">
      <c r="A28" t="s">
        <v>218</v>
      </c>
      <c r="B28" t="s">
        <v>12</v>
      </c>
      <c r="C28" t="s">
        <v>4</v>
      </c>
      <c r="D28" s="2">
        <v>0.01</v>
      </c>
      <c r="E28" s="2"/>
    </row>
    <row r="29" spans="1:102" x14ac:dyDescent="0.25">
      <c r="A29" t="s">
        <v>217</v>
      </c>
      <c r="B29" t="s">
        <v>6</v>
      </c>
      <c r="C29" s="1" t="s">
        <v>18</v>
      </c>
      <c r="D29" s="2">
        <v>0.01</v>
      </c>
      <c r="E29" s="2"/>
    </row>
    <row r="30" spans="1:102" x14ac:dyDescent="0.25">
      <c r="A30" t="s">
        <v>216</v>
      </c>
      <c r="B30" s="1" t="s">
        <v>18</v>
      </c>
      <c r="C30" t="s">
        <v>6</v>
      </c>
      <c r="D30" s="2">
        <v>0.01</v>
      </c>
      <c r="E30" s="2"/>
    </row>
    <row r="31" spans="1:102" x14ac:dyDescent="0.25">
      <c r="A31" t="s">
        <v>215</v>
      </c>
      <c r="B31" t="s">
        <v>14</v>
      </c>
      <c r="C31" t="s">
        <v>8</v>
      </c>
      <c r="D31" s="2">
        <v>0.01</v>
      </c>
      <c r="E31" s="2"/>
    </row>
    <row r="32" spans="1:102" x14ac:dyDescent="0.25">
      <c r="A32" t="s">
        <v>214</v>
      </c>
      <c r="B32" t="s">
        <v>8</v>
      </c>
      <c r="C32" t="s">
        <v>14</v>
      </c>
      <c r="D32" s="2">
        <v>0.01</v>
      </c>
      <c r="E32" s="2"/>
    </row>
    <row r="33" spans="1:5" x14ac:dyDescent="0.25">
      <c r="A33" t="s">
        <v>213</v>
      </c>
      <c r="B33" t="s">
        <v>12</v>
      </c>
      <c r="C33" t="s">
        <v>6</v>
      </c>
      <c r="D33" s="2">
        <v>0.01</v>
      </c>
      <c r="E33" s="2"/>
    </row>
    <row r="34" spans="1:5" x14ac:dyDescent="0.25">
      <c r="A34" t="s">
        <v>212</v>
      </c>
      <c r="B34" t="s">
        <v>6</v>
      </c>
      <c r="C34" t="s">
        <v>12</v>
      </c>
      <c r="D34" s="2">
        <v>0.01</v>
      </c>
      <c r="E34" s="2"/>
    </row>
    <row r="35" spans="1:5" x14ac:dyDescent="0.25">
      <c r="A35" t="s">
        <v>211</v>
      </c>
      <c r="B35" t="s">
        <v>4</v>
      </c>
      <c r="C35" s="2" t="s">
        <v>16</v>
      </c>
      <c r="D35" s="2">
        <v>0.01</v>
      </c>
      <c r="E35" s="2"/>
    </row>
    <row r="36" spans="1:5" x14ac:dyDescent="0.25">
      <c r="A36" t="s">
        <v>210</v>
      </c>
      <c r="B36" s="2" t="s">
        <v>16</v>
      </c>
      <c r="C36" t="s">
        <v>4</v>
      </c>
      <c r="D36" s="2">
        <v>0.01</v>
      </c>
      <c r="E36" s="2"/>
    </row>
    <row r="37" spans="1:5" x14ac:dyDescent="0.25">
      <c r="A37" t="s">
        <v>209</v>
      </c>
      <c r="B37" t="s">
        <v>6</v>
      </c>
      <c r="C37" t="s">
        <v>10</v>
      </c>
      <c r="D37" s="2">
        <v>0.01</v>
      </c>
      <c r="E37" s="2"/>
    </row>
    <row r="38" spans="1:5" x14ac:dyDescent="0.25">
      <c r="A38" t="s">
        <v>208</v>
      </c>
      <c r="B38" t="s">
        <v>10</v>
      </c>
      <c r="C38" t="s">
        <v>6</v>
      </c>
      <c r="D38" s="2">
        <v>0.01</v>
      </c>
      <c r="E38" s="2"/>
    </row>
    <row r="39" spans="1:5" x14ac:dyDescent="0.25">
      <c r="A39" t="s">
        <v>207</v>
      </c>
      <c r="B39" t="s">
        <v>14</v>
      </c>
      <c r="C39" s="1" t="s">
        <v>2</v>
      </c>
      <c r="D39" s="2">
        <v>0.01</v>
      </c>
      <c r="E39" s="2"/>
    </row>
    <row r="40" spans="1:5" x14ac:dyDescent="0.25">
      <c r="A40" t="s">
        <v>206</v>
      </c>
      <c r="B40" t="s">
        <v>12</v>
      </c>
      <c r="C40" s="1" t="s">
        <v>2</v>
      </c>
      <c r="D40" s="2">
        <v>0.01</v>
      </c>
      <c r="E40" s="2"/>
    </row>
    <row r="41" spans="1:5" x14ac:dyDescent="0.25">
      <c r="A41" t="s">
        <v>205</v>
      </c>
      <c r="B41" t="s">
        <v>6</v>
      </c>
      <c r="C41" s="1" t="s">
        <v>2</v>
      </c>
      <c r="D41" s="2">
        <v>0.01</v>
      </c>
      <c r="E41" s="2"/>
    </row>
    <row r="42" spans="1:5" x14ac:dyDescent="0.25">
      <c r="A42" t="s">
        <v>204</v>
      </c>
      <c r="B42" t="s">
        <v>4</v>
      </c>
      <c r="C42" s="1" t="s">
        <v>2</v>
      </c>
      <c r="D42" s="2">
        <v>0.01</v>
      </c>
      <c r="E42" s="2"/>
    </row>
    <row r="43" spans="1:5" x14ac:dyDescent="0.25">
      <c r="A43" t="s">
        <v>203</v>
      </c>
      <c r="B43" s="1" t="s">
        <v>8</v>
      </c>
      <c r="C43" s="1" t="s">
        <v>2</v>
      </c>
      <c r="D43" s="2">
        <v>0.01</v>
      </c>
      <c r="E43" s="2"/>
    </row>
    <row r="44" spans="1:5" x14ac:dyDescent="0.25">
      <c r="A44" t="s">
        <v>202</v>
      </c>
      <c r="B44" s="1" t="s">
        <v>2</v>
      </c>
      <c r="C44" t="s">
        <v>14</v>
      </c>
      <c r="D44" s="2">
        <v>0.01</v>
      </c>
    </row>
    <row r="45" spans="1:5" x14ac:dyDescent="0.25">
      <c r="A45" t="s">
        <v>201</v>
      </c>
      <c r="B45" s="1" t="s">
        <v>2</v>
      </c>
      <c r="C45" t="s">
        <v>12</v>
      </c>
      <c r="D45" s="2">
        <v>0.01</v>
      </c>
    </row>
    <row r="46" spans="1:5" x14ac:dyDescent="0.25">
      <c r="A46" t="s">
        <v>200</v>
      </c>
      <c r="B46" s="1" t="s">
        <v>2</v>
      </c>
      <c r="C46" t="s">
        <v>6</v>
      </c>
      <c r="D46" s="2">
        <v>0.01</v>
      </c>
    </row>
    <row r="47" spans="1:5" x14ac:dyDescent="0.25">
      <c r="A47" t="s">
        <v>199</v>
      </c>
      <c r="B47" s="1" t="s">
        <v>2</v>
      </c>
      <c r="C47" t="s">
        <v>4</v>
      </c>
      <c r="D47" s="2">
        <v>0.01</v>
      </c>
    </row>
    <row r="48" spans="1:5" x14ac:dyDescent="0.25">
      <c r="A48" t="s">
        <v>198</v>
      </c>
      <c r="B48" s="1" t="s">
        <v>2</v>
      </c>
      <c r="C48" s="1" t="s">
        <v>8</v>
      </c>
      <c r="D48" s="2">
        <v>0.01</v>
      </c>
    </row>
    <row r="49" spans="1:4" x14ac:dyDescent="0.25">
      <c r="A49" t="s">
        <v>197</v>
      </c>
      <c r="B49" s="1" t="s">
        <v>2</v>
      </c>
      <c r="C49" s="2" t="s">
        <v>18</v>
      </c>
      <c r="D49" s="2">
        <v>0.01</v>
      </c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C53" s="1"/>
    </row>
    <row r="54" spans="1:4" x14ac:dyDescent="0.25">
      <c r="B54" s="1"/>
      <c r="C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showGridLines="0" zoomScaleNormal="100" workbookViewId="0">
      <selection activeCell="F20" sqref="F20"/>
    </sheetView>
  </sheetViews>
  <sheetFormatPr defaultRowHeight="11.5" x14ac:dyDescent="0.25"/>
  <cols>
    <col min="1" max="1" width="14.6328125" customWidth="1"/>
  </cols>
  <sheetData>
    <row r="1" spans="1:21" ht="19.5" x14ac:dyDescent="0.35">
      <c r="A1" s="101" t="s">
        <v>231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89" t="s">
        <v>230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x14ac:dyDescent="0.25">
      <c r="A3" s="89"/>
      <c r="B3" s="23"/>
      <c r="C3" s="23"/>
      <c r="D3" s="23"/>
      <c r="E3" s="88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00" t="s">
        <v>176</v>
      </c>
      <c r="B4" s="98"/>
      <c r="C4" s="98"/>
      <c r="D4" s="98"/>
      <c r="E4" s="97"/>
      <c r="F4" s="99" t="s">
        <v>175</v>
      </c>
      <c r="G4" s="100"/>
      <c r="H4" s="98"/>
      <c r="I4" s="98"/>
      <c r="J4" s="98"/>
      <c r="K4" s="98"/>
      <c r="L4" s="98"/>
      <c r="M4" s="97"/>
    </row>
    <row r="5" spans="1:21" x14ac:dyDescent="0.25">
      <c r="A5" s="2"/>
      <c r="B5" s="2"/>
      <c r="C5" s="2"/>
      <c r="D5" s="2"/>
      <c r="E5" s="92"/>
      <c r="F5" s="93"/>
      <c r="G5" s="2"/>
      <c r="H5" s="2"/>
      <c r="I5" s="2"/>
      <c r="J5" s="2"/>
      <c r="K5" s="2"/>
      <c r="L5" s="2"/>
      <c r="M5" s="92"/>
    </row>
    <row r="6" spans="1:21" x14ac:dyDescent="0.25">
      <c r="A6" s="2" t="s">
        <v>340</v>
      </c>
      <c r="B6" s="2"/>
      <c r="C6" s="2"/>
      <c r="D6" s="2"/>
      <c r="E6" s="92"/>
      <c r="F6" s="93"/>
      <c r="G6" s="2"/>
      <c r="H6" s="2"/>
      <c r="I6" s="2"/>
      <c r="J6" s="2"/>
      <c r="K6" s="2"/>
      <c r="L6" s="2"/>
      <c r="M6" s="92"/>
    </row>
    <row r="7" spans="1:21" x14ac:dyDescent="0.25">
      <c r="A7" s="2" t="s">
        <v>261</v>
      </c>
      <c r="B7" s="2"/>
      <c r="C7" s="2"/>
      <c r="D7" s="2"/>
      <c r="E7" s="92"/>
      <c r="F7" s="93"/>
      <c r="G7" s="2"/>
      <c r="H7" s="2"/>
      <c r="I7" s="2"/>
      <c r="J7" s="2"/>
      <c r="K7" s="2"/>
      <c r="L7" s="2"/>
      <c r="M7" s="92"/>
    </row>
    <row r="8" spans="1:21" x14ac:dyDescent="0.25">
      <c r="A8" s="2" t="s">
        <v>341</v>
      </c>
      <c r="B8" s="2"/>
      <c r="C8" s="2"/>
      <c r="D8" s="2"/>
      <c r="E8" s="92"/>
      <c r="F8" s="93"/>
      <c r="G8" s="2"/>
      <c r="H8" s="2"/>
      <c r="I8" s="2"/>
      <c r="J8" s="2"/>
      <c r="K8" s="2"/>
      <c r="L8" s="2"/>
      <c r="M8" s="92"/>
    </row>
    <row r="9" spans="1:21" x14ac:dyDescent="0.25">
      <c r="A9" t="s">
        <v>342</v>
      </c>
      <c r="B9" s="2"/>
      <c r="C9" s="2"/>
      <c r="D9" s="2"/>
      <c r="E9" s="92"/>
      <c r="F9" s="93"/>
      <c r="G9" s="2"/>
      <c r="H9" s="52"/>
      <c r="I9" s="52"/>
      <c r="J9" s="52"/>
      <c r="K9" s="52"/>
      <c r="L9" s="52"/>
      <c r="M9" s="92"/>
    </row>
    <row r="10" spans="1:21" x14ac:dyDescent="0.25">
      <c r="A10" s="2" t="s">
        <v>258</v>
      </c>
      <c r="B10" s="2"/>
      <c r="C10" s="2"/>
      <c r="D10" s="2"/>
      <c r="E10" s="92"/>
      <c r="F10" s="93"/>
      <c r="G10" s="2"/>
      <c r="H10" s="2"/>
      <c r="I10" s="2"/>
      <c r="J10" s="2"/>
      <c r="K10" s="2"/>
      <c r="L10" s="2"/>
      <c r="M10" s="92"/>
    </row>
    <row r="11" spans="1:21" x14ac:dyDescent="0.25">
      <c r="B11" s="2"/>
      <c r="C11" s="2"/>
      <c r="D11" s="2"/>
      <c r="E11" s="92"/>
      <c r="F11" s="93"/>
      <c r="G11" s="2"/>
      <c r="H11" s="2"/>
      <c r="I11" s="2"/>
      <c r="J11" s="2"/>
      <c r="K11" s="2"/>
      <c r="L11" s="2"/>
      <c r="M11" s="92"/>
    </row>
    <row r="12" spans="1:21" x14ac:dyDescent="0.25">
      <c r="B12" s="2"/>
      <c r="C12" s="2"/>
      <c r="D12" s="2"/>
      <c r="E12" s="92"/>
      <c r="F12" s="93"/>
      <c r="G12" s="2"/>
      <c r="H12" s="2"/>
      <c r="I12" s="2"/>
      <c r="J12" s="2"/>
      <c r="K12" s="2"/>
      <c r="L12" s="2"/>
      <c r="M12" s="92"/>
    </row>
    <row r="13" spans="1:21" x14ac:dyDescent="0.25">
      <c r="A13" t="s">
        <v>343</v>
      </c>
      <c r="B13" s="2"/>
      <c r="C13" s="2"/>
      <c r="D13" s="2"/>
      <c r="E13" s="92"/>
      <c r="F13" s="93"/>
      <c r="G13" s="2"/>
      <c r="H13" s="2"/>
      <c r="I13" s="2"/>
      <c r="J13" s="2"/>
      <c r="K13" s="2"/>
      <c r="L13" s="2"/>
      <c r="M13" s="92"/>
    </row>
    <row r="14" spans="1:21" x14ac:dyDescent="0.25">
      <c r="A14" s="66" t="s">
        <v>338</v>
      </c>
      <c r="B14" s="2"/>
      <c r="C14" s="2"/>
      <c r="D14" s="2"/>
      <c r="E14" s="92"/>
      <c r="F14" s="93"/>
      <c r="G14" s="2"/>
      <c r="H14" s="2"/>
      <c r="I14" s="2"/>
      <c r="J14" s="2"/>
      <c r="K14" s="2"/>
      <c r="L14" s="2"/>
      <c r="M14" s="92"/>
    </row>
    <row r="15" spans="1:21" x14ac:dyDescent="0.25">
      <c r="A15" s="86" t="s">
        <v>339</v>
      </c>
      <c r="B15" s="2"/>
      <c r="C15" s="2"/>
      <c r="D15" s="2"/>
      <c r="E15" s="92"/>
      <c r="F15" s="93"/>
      <c r="G15" s="2"/>
      <c r="H15" s="2"/>
      <c r="I15" s="2"/>
      <c r="J15" s="2"/>
      <c r="K15" s="2"/>
      <c r="L15" s="2"/>
      <c r="M15" s="92"/>
    </row>
    <row r="16" spans="1:21" x14ac:dyDescent="0.25">
      <c r="B16" s="2"/>
      <c r="C16" s="2"/>
      <c r="D16" s="2"/>
      <c r="E16" s="92"/>
      <c r="F16" s="93"/>
      <c r="G16" s="2"/>
      <c r="H16" s="2"/>
      <c r="I16" s="2"/>
      <c r="J16" s="2"/>
      <c r="K16" s="2"/>
      <c r="L16" s="2"/>
      <c r="M16" s="92"/>
    </row>
    <row r="17" spans="1:21" x14ac:dyDescent="0.25">
      <c r="B17" s="2"/>
      <c r="C17" s="2"/>
      <c r="D17" s="2"/>
      <c r="E17" s="92"/>
      <c r="F17" s="93"/>
      <c r="G17" s="2"/>
      <c r="H17" s="2"/>
      <c r="I17" s="2"/>
      <c r="J17" s="2"/>
      <c r="K17" s="2"/>
      <c r="L17" s="2"/>
      <c r="M17" s="92"/>
    </row>
    <row r="18" spans="1:21" x14ac:dyDescent="0.25">
      <c r="A18" s="82"/>
      <c r="B18" s="82"/>
      <c r="C18" s="82"/>
      <c r="D18" s="82"/>
      <c r="E18" s="90"/>
      <c r="F18" s="91"/>
      <c r="G18" s="82"/>
      <c r="H18" s="82"/>
      <c r="I18" s="82"/>
      <c r="J18" s="82"/>
      <c r="K18" s="82"/>
      <c r="L18" s="82"/>
      <c r="M18" s="90"/>
    </row>
    <row r="19" spans="1:21" x14ac:dyDescent="0.25">
      <c r="A19" s="89"/>
      <c r="B19" s="23"/>
      <c r="C19" s="23"/>
      <c r="D19" s="23"/>
      <c r="E19" s="88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A20" s="75"/>
      <c r="B20" s="23"/>
      <c r="C20" s="74"/>
      <c r="D20" s="74"/>
      <c r="E20" s="74"/>
      <c r="F20" s="74"/>
      <c r="G20" s="23"/>
      <c r="H20" s="23"/>
      <c r="I20" s="23"/>
      <c r="J20" s="23"/>
      <c r="K20" s="23"/>
      <c r="L20" s="23"/>
      <c r="M20" s="23"/>
      <c r="N20" s="2"/>
      <c r="O20" s="2"/>
      <c r="P20" s="2"/>
      <c r="Q20" s="2"/>
      <c r="R20" s="2"/>
      <c r="S20" s="2"/>
      <c r="T20" s="2"/>
      <c r="U20" s="2"/>
    </row>
    <row r="21" spans="1:21" ht="14.5" x14ac:dyDescent="0.25">
      <c r="A21" s="75" t="s">
        <v>322</v>
      </c>
      <c r="B21" s="72" t="s">
        <v>183</v>
      </c>
      <c r="C21" s="70"/>
      <c r="D21" s="70"/>
      <c r="E21" s="70"/>
      <c r="F21" s="70"/>
      <c r="G21" s="23"/>
      <c r="H21" s="23"/>
      <c r="I21" s="2"/>
      <c r="J21" s="2"/>
      <c r="K21" s="2"/>
      <c r="L21" s="2"/>
      <c r="M21" s="2"/>
      <c r="N21" s="103"/>
      <c r="O21" s="103"/>
      <c r="P21" s="103"/>
      <c r="Q21" s="103"/>
      <c r="R21" s="103"/>
      <c r="S21" s="103"/>
      <c r="T21" s="103"/>
      <c r="U21" s="103"/>
    </row>
    <row r="22" spans="1:21" x14ac:dyDescent="0.25">
      <c r="A22" s="116" t="s">
        <v>227</v>
      </c>
      <c r="B22" s="2" t="s">
        <v>122</v>
      </c>
      <c r="C22" s="2" t="s">
        <v>121</v>
      </c>
      <c r="D22" s="2" t="s">
        <v>120</v>
      </c>
      <c r="E22" s="2" t="s">
        <v>119</v>
      </c>
      <c r="F22" s="2" t="s">
        <v>118</v>
      </c>
      <c r="G22" s="2" t="s">
        <v>117</v>
      </c>
      <c r="H22" s="2" t="s">
        <v>116</v>
      </c>
      <c r="I22" s="2" t="s">
        <v>115</v>
      </c>
      <c r="J22" s="2" t="s">
        <v>114</v>
      </c>
      <c r="K22" s="2" t="s">
        <v>300</v>
      </c>
      <c r="L22" s="2" t="s">
        <v>113</v>
      </c>
      <c r="M22" s="2" t="s">
        <v>112</v>
      </c>
      <c r="N22" s="102"/>
      <c r="O22" s="102"/>
      <c r="P22" s="102"/>
      <c r="Q22" s="102"/>
      <c r="R22" s="102"/>
      <c r="S22" s="102"/>
      <c r="T22" s="102"/>
      <c r="U22" s="102"/>
    </row>
    <row r="23" spans="1:21" x14ac:dyDescent="0.25">
      <c r="A23" s="115" t="s">
        <v>223</v>
      </c>
      <c r="B23" s="104">
        <f>I23</f>
        <v>344.07945409337583</v>
      </c>
      <c r="C23" s="114">
        <v>371</v>
      </c>
      <c r="D23" s="114">
        <v>82.500873906175457</v>
      </c>
      <c r="E23" s="114">
        <v>52</v>
      </c>
      <c r="F23" s="114">
        <v>686</v>
      </c>
      <c r="G23" s="114">
        <v>63.843325589970959</v>
      </c>
      <c r="H23" s="114">
        <v>536.39395147021128</v>
      </c>
      <c r="I23" s="114">
        <v>344.07945409337583</v>
      </c>
      <c r="J23" s="114">
        <v>415.17999810708898</v>
      </c>
      <c r="K23" s="114">
        <v>18.340005760955137</v>
      </c>
      <c r="L23" s="114">
        <v>1</v>
      </c>
      <c r="M23" s="114">
        <v>841.03675259257966</v>
      </c>
      <c r="N23" s="102"/>
      <c r="O23" s="102"/>
      <c r="P23" s="102"/>
      <c r="Q23" s="102"/>
      <c r="R23" s="102"/>
      <c r="S23" s="102"/>
      <c r="T23" s="102"/>
      <c r="U23" s="102"/>
    </row>
    <row r="24" spans="1:21" x14ac:dyDescent="0.25">
      <c r="A24" s="115" t="s">
        <v>222</v>
      </c>
      <c r="B24" s="114">
        <f>I24</f>
        <v>344.07945409337583</v>
      </c>
      <c r="C24" s="114">
        <v>371</v>
      </c>
      <c r="D24" s="114">
        <v>82.500873906175457</v>
      </c>
      <c r="E24" s="114">
        <v>52</v>
      </c>
      <c r="F24" s="114">
        <v>686</v>
      </c>
      <c r="G24" s="114">
        <v>63.843325589970959</v>
      </c>
      <c r="H24" s="114">
        <v>536.39395147021128</v>
      </c>
      <c r="I24" s="114">
        <v>344.07945409337583</v>
      </c>
      <c r="J24" s="114">
        <v>415.17999810708898</v>
      </c>
      <c r="K24" s="114">
        <v>18.340005760955137</v>
      </c>
      <c r="L24" s="114">
        <v>1</v>
      </c>
      <c r="M24" s="114">
        <v>841.03675259257966</v>
      </c>
      <c r="N24" s="102"/>
      <c r="O24" s="102"/>
      <c r="P24" s="102"/>
      <c r="Q24" s="102"/>
      <c r="R24" s="102"/>
      <c r="S24" s="102"/>
      <c r="T24" s="102"/>
      <c r="U24" s="102"/>
    </row>
    <row r="25" spans="1:21" x14ac:dyDescent="0.25">
      <c r="A25" s="115" t="s">
        <v>221</v>
      </c>
      <c r="B25" s="114">
        <v>331</v>
      </c>
      <c r="C25" s="114">
        <v>215</v>
      </c>
      <c r="D25" s="114">
        <v>65.452199905438647</v>
      </c>
      <c r="E25" s="114">
        <v>144</v>
      </c>
      <c r="F25" s="114">
        <v>6</v>
      </c>
      <c r="G25" s="114">
        <v>407.18061616646787</v>
      </c>
      <c r="H25" s="114">
        <v>105.82377658989833</v>
      </c>
      <c r="I25" s="114">
        <v>100.83198409603017</v>
      </c>
      <c r="J25" s="114">
        <v>541.53405102343731</v>
      </c>
      <c r="K25" s="114">
        <v>1678.9405371400612</v>
      </c>
      <c r="L25" s="114">
        <v>1</v>
      </c>
      <c r="M25" s="114">
        <v>129.53644671362599</v>
      </c>
      <c r="N25" s="102"/>
      <c r="O25" s="102"/>
      <c r="P25" s="102"/>
      <c r="Q25" s="102"/>
      <c r="R25" s="102"/>
      <c r="S25" s="102"/>
      <c r="T25" s="102"/>
      <c r="U25" s="102"/>
    </row>
    <row r="26" spans="1:21" x14ac:dyDescent="0.25">
      <c r="A26" s="115" t="s">
        <v>220</v>
      </c>
      <c r="B26" s="114">
        <v>331</v>
      </c>
      <c r="C26" s="114">
        <v>215</v>
      </c>
      <c r="D26" s="114">
        <v>65.452199905438647</v>
      </c>
      <c r="E26" s="114">
        <v>144</v>
      </c>
      <c r="F26" s="114">
        <v>6</v>
      </c>
      <c r="G26" s="114">
        <v>407.18061616646787</v>
      </c>
      <c r="H26" s="114">
        <v>105.82377658989833</v>
      </c>
      <c r="I26" s="114">
        <v>100.83198409603017</v>
      </c>
      <c r="J26" s="114">
        <v>541.53405102343731</v>
      </c>
      <c r="K26" s="114">
        <v>1678.9405371400612</v>
      </c>
      <c r="L26" s="114">
        <v>1</v>
      </c>
      <c r="M26" s="114">
        <v>129.53644671362599</v>
      </c>
      <c r="N26" s="102"/>
      <c r="O26" s="102"/>
      <c r="P26" s="102"/>
      <c r="Q26" s="102"/>
      <c r="R26" s="102"/>
      <c r="S26" s="102"/>
      <c r="T26" s="102"/>
      <c r="U26" s="102"/>
    </row>
    <row r="27" spans="1:21" x14ac:dyDescent="0.25">
      <c r="A27" s="115" t="s">
        <v>219</v>
      </c>
      <c r="B27" s="104">
        <f>I27</f>
        <v>191.0569534325258</v>
      </c>
      <c r="C27" s="114">
        <v>207</v>
      </c>
      <c r="D27" s="114">
        <v>73.514491904894953</v>
      </c>
      <c r="E27" s="114">
        <v>115</v>
      </c>
      <c r="F27" s="114">
        <v>164</v>
      </c>
      <c r="G27" s="114">
        <v>38.953193629064685</v>
      </c>
      <c r="H27" s="114">
        <v>233.21785198324352</v>
      </c>
      <c r="I27" s="114">
        <v>191.0569534325258</v>
      </c>
      <c r="J27" s="114">
        <v>326.89055845949133</v>
      </c>
      <c r="K27" s="114">
        <v>1366.013219649285</v>
      </c>
      <c r="L27" s="114">
        <v>1</v>
      </c>
      <c r="M27" s="114">
        <v>28.495514241035949</v>
      </c>
      <c r="N27" s="102"/>
      <c r="O27" s="102"/>
      <c r="P27" s="102"/>
      <c r="Q27" s="102"/>
      <c r="R27" s="102"/>
      <c r="S27" s="102"/>
      <c r="T27" s="102"/>
      <c r="U27" s="102"/>
    </row>
    <row r="28" spans="1:21" x14ac:dyDescent="0.25">
      <c r="A28" s="115" t="s">
        <v>218</v>
      </c>
      <c r="B28" s="114">
        <f>I28</f>
        <v>191.0569534325258</v>
      </c>
      <c r="C28" s="114">
        <v>207</v>
      </c>
      <c r="D28" s="114">
        <v>73.514491904894953</v>
      </c>
      <c r="E28" s="114">
        <v>115</v>
      </c>
      <c r="F28" s="114">
        <v>164</v>
      </c>
      <c r="G28" s="114">
        <v>38.953193629064685</v>
      </c>
      <c r="H28" s="114">
        <v>233.21785198324352</v>
      </c>
      <c r="I28" s="114">
        <v>191.0569534325258</v>
      </c>
      <c r="J28" s="114">
        <v>326.89055845949133</v>
      </c>
      <c r="K28" s="114">
        <v>1366.013219649285</v>
      </c>
      <c r="L28" s="114">
        <v>1</v>
      </c>
      <c r="M28" s="114">
        <v>28.495514241035949</v>
      </c>
      <c r="N28" s="102"/>
      <c r="O28" s="102"/>
      <c r="P28" s="102"/>
      <c r="Q28" s="102"/>
      <c r="R28" s="102"/>
      <c r="S28" s="102"/>
      <c r="T28" s="102"/>
      <c r="U28" s="102"/>
    </row>
    <row r="29" spans="1:21" x14ac:dyDescent="0.25">
      <c r="A29" s="115" t="s">
        <v>217</v>
      </c>
      <c r="B29" s="114">
        <v>330.69314079422378</v>
      </c>
      <c r="C29" s="114">
        <v>335</v>
      </c>
      <c r="D29" s="114">
        <v>192.77016742770161</v>
      </c>
      <c r="E29" s="114">
        <v>302</v>
      </c>
      <c r="F29" s="114">
        <v>526</v>
      </c>
      <c r="G29" s="114">
        <v>379.85698965426695</v>
      </c>
      <c r="H29" s="114">
        <v>22.22426401955488</v>
      </c>
      <c r="I29" s="114">
        <v>21.352222705850409</v>
      </c>
      <c r="J29" s="114">
        <v>1023.3722529117586</v>
      </c>
      <c r="K29" s="114">
        <v>1821.0252466842189</v>
      </c>
      <c r="L29" s="114">
        <v>1</v>
      </c>
      <c r="M29" s="114">
        <v>497.53750144595858</v>
      </c>
      <c r="N29" s="102"/>
      <c r="O29" s="102"/>
      <c r="P29" s="102"/>
      <c r="Q29" s="102"/>
      <c r="R29" s="102"/>
      <c r="S29" s="102"/>
      <c r="T29" s="102"/>
      <c r="U29" s="102"/>
    </row>
    <row r="30" spans="1:21" x14ac:dyDescent="0.25">
      <c r="A30" s="115" t="s">
        <v>216</v>
      </c>
      <c r="B30" s="114">
        <v>330.69314079422378</v>
      </c>
      <c r="C30" s="114">
        <v>335</v>
      </c>
      <c r="D30" s="114">
        <v>192.77016742770161</v>
      </c>
      <c r="E30" s="114">
        <v>302</v>
      </c>
      <c r="F30" s="114">
        <v>526</v>
      </c>
      <c r="G30" s="114">
        <v>379.85698965426695</v>
      </c>
      <c r="H30" s="114">
        <v>22.22426401955488</v>
      </c>
      <c r="I30" s="114">
        <v>21.352222705850409</v>
      </c>
      <c r="J30" s="114">
        <v>1023.3722529117586</v>
      </c>
      <c r="K30" s="114">
        <v>1821.0252466842189</v>
      </c>
      <c r="L30" s="114">
        <v>1</v>
      </c>
      <c r="M30" s="114">
        <v>497.53750144595858</v>
      </c>
      <c r="N30" s="102"/>
      <c r="O30" s="102"/>
      <c r="P30" s="102"/>
      <c r="Q30" s="102"/>
      <c r="R30" s="102"/>
      <c r="S30" s="102"/>
      <c r="T30" s="102"/>
      <c r="U30" s="102"/>
    </row>
    <row r="31" spans="1:21" ht="16" customHeight="1" x14ac:dyDescent="0.25">
      <c r="A31" s="115" t="s">
        <v>215</v>
      </c>
      <c r="B31" s="104">
        <f>I31</f>
        <v>463.83685386419427</v>
      </c>
      <c r="C31" s="114">
        <v>121</v>
      </c>
      <c r="D31" s="114">
        <v>166.66666666666663</v>
      </c>
      <c r="E31" s="114">
        <v>54</v>
      </c>
      <c r="F31" s="114">
        <v>432</v>
      </c>
      <c r="G31" s="114">
        <v>624.34279128320338</v>
      </c>
      <c r="H31" s="114">
        <v>493.37127351222671</v>
      </c>
      <c r="I31" s="114">
        <v>463.83685386419427</v>
      </c>
      <c r="J31" s="114">
        <v>554.36085244656033</v>
      </c>
      <c r="K31" s="114">
        <v>1227.2925699359503</v>
      </c>
      <c r="L31" s="114">
        <v>1</v>
      </c>
      <c r="M31" s="114">
        <v>870.4062602844914</v>
      </c>
      <c r="N31" s="102"/>
      <c r="O31" s="102"/>
      <c r="P31" s="102"/>
      <c r="Q31" s="102"/>
      <c r="R31" s="102"/>
      <c r="S31" s="102"/>
      <c r="T31" s="102"/>
      <c r="U31" s="102"/>
    </row>
    <row r="32" spans="1:21" ht="15" customHeight="1" x14ac:dyDescent="0.25">
      <c r="A32" s="115" t="s">
        <v>214</v>
      </c>
      <c r="B32" s="114">
        <f>I32</f>
        <v>463.83685386419427</v>
      </c>
      <c r="C32" s="114">
        <v>121</v>
      </c>
      <c r="D32" s="114">
        <v>166.66666666666663</v>
      </c>
      <c r="E32" s="114">
        <v>54</v>
      </c>
      <c r="F32" s="114">
        <v>432</v>
      </c>
      <c r="G32" s="114">
        <v>624.34279128320338</v>
      </c>
      <c r="H32" s="114">
        <v>493.37127351222671</v>
      </c>
      <c r="I32" s="114">
        <v>463.83685386419427</v>
      </c>
      <c r="J32" s="114">
        <v>554.36085244656033</v>
      </c>
      <c r="K32" s="114">
        <v>1227.2925699359503</v>
      </c>
      <c r="L32" s="114">
        <v>1</v>
      </c>
      <c r="M32" s="114">
        <v>870.4062602844914</v>
      </c>
    </row>
    <row r="33" spans="1:13" ht="14.5" customHeight="1" x14ac:dyDescent="0.25">
      <c r="A33" s="115" t="s">
        <v>213</v>
      </c>
      <c r="B33" s="114">
        <v>330.69314079422378</v>
      </c>
      <c r="C33" s="114">
        <v>422</v>
      </c>
      <c r="D33" s="114">
        <v>8.0622919994563063</v>
      </c>
      <c r="E33" s="114">
        <v>29</v>
      </c>
      <c r="F33" s="114">
        <v>158</v>
      </c>
      <c r="G33" s="114">
        <v>446.13380979553256</v>
      </c>
      <c r="H33" s="114">
        <v>127.39407539334519</v>
      </c>
      <c r="I33" s="114">
        <v>291.88893752855597</v>
      </c>
      <c r="J33" s="114">
        <v>214.64349256394598</v>
      </c>
      <c r="K33" s="114">
        <v>312.9273174907762</v>
      </c>
      <c r="L33" s="114">
        <v>1</v>
      </c>
      <c r="M33" s="114">
        <v>101.04093247259004</v>
      </c>
    </row>
    <row r="34" spans="1:13" ht="14.5" customHeight="1" x14ac:dyDescent="0.25">
      <c r="A34" s="115" t="s">
        <v>212</v>
      </c>
      <c r="B34" s="114">
        <v>330.69314079422378</v>
      </c>
      <c r="C34" s="114">
        <v>422</v>
      </c>
      <c r="D34" s="114">
        <v>8.0622919994563063</v>
      </c>
      <c r="E34" s="114">
        <v>29</v>
      </c>
      <c r="F34" s="114">
        <v>158</v>
      </c>
      <c r="G34" s="114">
        <v>446.13380979553256</v>
      </c>
      <c r="H34" s="114">
        <v>127.39407539334519</v>
      </c>
      <c r="I34" s="114">
        <v>291.88893752855597</v>
      </c>
      <c r="J34" s="114">
        <v>214.64349256394598</v>
      </c>
      <c r="K34" s="114">
        <v>312.9273174907762</v>
      </c>
      <c r="L34" s="114">
        <v>1</v>
      </c>
      <c r="M34" s="114">
        <v>101.04093247259004</v>
      </c>
    </row>
    <row r="35" spans="1:13" ht="14.5" customHeight="1" x14ac:dyDescent="0.25">
      <c r="A35" s="115" t="s">
        <v>211</v>
      </c>
      <c r="B35" s="104">
        <f>I35</f>
        <v>55.641116358586089</v>
      </c>
      <c r="C35" s="114">
        <v>1</v>
      </c>
      <c r="D35" s="114">
        <v>148.86228998846673</v>
      </c>
      <c r="E35" s="114">
        <v>11</v>
      </c>
      <c r="F35" s="114">
        <v>243</v>
      </c>
      <c r="G35" s="114">
        <v>312.45276021029235</v>
      </c>
      <c r="H35" s="114">
        <v>364.78162315810255</v>
      </c>
      <c r="I35" s="114">
        <v>55.641116358586089</v>
      </c>
      <c r="J35" s="114">
        <v>3714.4615639196413</v>
      </c>
      <c r="K35" s="114">
        <v>1842.0480119409913</v>
      </c>
      <c r="L35" s="114">
        <v>1</v>
      </c>
      <c r="M35" s="114">
        <v>110.20030566135938</v>
      </c>
    </row>
    <row r="36" spans="1:13" ht="16" customHeight="1" x14ac:dyDescent="0.25">
      <c r="A36" s="115" t="s">
        <v>210</v>
      </c>
      <c r="B36" s="114">
        <f>I36</f>
        <v>55.641116358586089</v>
      </c>
      <c r="C36" s="114">
        <v>1</v>
      </c>
      <c r="D36" s="114">
        <v>148.86228998846673</v>
      </c>
      <c r="E36" s="114">
        <v>11</v>
      </c>
      <c r="F36" s="114">
        <v>243</v>
      </c>
      <c r="G36" s="114">
        <v>312.45276021029235</v>
      </c>
      <c r="H36" s="114">
        <v>364.78162315810255</v>
      </c>
      <c r="I36" s="114">
        <v>55.641116358586089</v>
      </c>
      <c r="J36" s="114">
        <v>3714.4615639196413</v>
      </c>
      <c r="K36" s="114">
        <v>1842.0480119409913</v>
      </c>
      <c r="L36" s="114">
        <v>1</v>
      </c>
      <c r="M36" s="114">
        <v>110.20030566135938</v>
      </c>
    </row>
    <row r="37" spans="1:13" ht="17.5" customHeight="1" x14ac:dyDescent="0.25">
      <c r="A37" s="115" t="s">
        <v>209</v>
      </c>
      <c r="B37" s="114">
        <v>330.69314079422378</v>
      </c>
      <c r="C37" s="114">
        <v>422</v>
      </c>
      <c r="D37" s="114">
        <v>116.54467723162315</v>
      </c>
      <c r="E37" s="114">
        <v>84</v>
      </c>
      <c r="F37" s="114">
        <v>47</v>
      </c>
      <c r="G37" s="114">
        <v>28.031375682977114</v>
      </c>
      <c r="H37" s="114">
        <v>152.558636185723</v>
      </c>
      <c r="I37" s="114">
        <v>199.10414627234456</v>
      </c>
      <c r="J37" s="114">
        <v>818.10146558107363</v>
      </c>
      <c r="K37" s="114">
        <v>1003.6399255833007</v>
      </c>
      <c r="L37" s="114">
        <v>1</v>
      </c>
      <c r="M37" s="114">
        <v>73.987775327295367</v>
      </c>
    </row>
    <row r="38" spans="1:13" ht="13.5" customHeight="1" x14ac:dyDescent="0.25">
      <c r="A38" s="115" t="s">
        <v>208</v>
      </c>
      <c r="B38" s="114">
        <v>330.69314079422378</v>
      </c>
      <c r="C38" s="114">
        <v>422</v>
      </c>
      <c r="D38" s="114">
        <v>116.54467723162315</v>
      </c>
      <c r="E38" s="114">
        <v>84</v>
      </c>
      <c r="F38" s="114">
        <v>47</v>
      </c>
      <c r="G38" s="114">
        <v>28.031375682977114</v>
      </c>
      <c r="H38" s="114">
        <v>152.558636185723</v>
      </c>
      <c r="I38" s="114">
        <v>199.10414627234456</v>
      </c>
      <c r="J38" s="114">
        <v>818.10146558107363</v>
      </c>
      <c r="K38" s="114">
        <v>1003.6399255833007</v>
      </c>
      <c r="L38" s="114">
        <v>1</v>
      </c>
      <c r="M38" s="114">
        <v>73.987775327295367</v>
      </c>
    </row>
    <row r="39" spans="1:13" ht="14.5" customHeight="1" x14ac:dyDescent="0.25">
      <c r="A39" s="113" t="s">
        <v>207</v>
      </c>
      <c r="B39" s="140">
        <v>999</v>
      </c>
      <c r="C39" s="140">
        <v>999</v>
      </c>
      <c r="D39" s="140">
        <v>999</v>
      </c>
      <c r="E39" s="140">
        <v>999</v>
      </c>
      <c r="F39" s="140">
        <v>999</v>
      </c>
      <c r="G39" s="140">
        <v>999</v>
      </c>
      <c r="H39" s="140">
        <v>999</v>
      </c>
      <c r="I39" s="140">
        <v>999</v>
      </c>
      <c r="J39" s="112">
        <v>2972.8195787816326</v>
      </c>
      <c r="K39" s="112">
        <v>1347.7074300640497</v>
      </c>
      <c r="L39" s="112">
        <v>0</v>
      </c>
      <c r="M39" s="140">
        <v>999</v>
      </c>
    </row>
    <row r="40" spans="1:13" ht="15" customHeight="1" x14ac:dyDescent="0.25">
      <c r="A40" s="113" t="s">
        <v>206</v>
      </c>
      <c r="B40" s="112">
        <v>999</v>
      </c>
      <c r="C40" s="112">
        <v>999</v>
      </c>
      <c r="D40" s="112">
        <v>999</v>
      </c>
      <c r="E40" s="112">
        <v>999</v>
      </c>
      <c r="F40" s="112">
        <v>999</v>
      </c>
      <c r="G40" s="112">
        <v>999</v>
      </c>
      <c r="H40" s="112">
        <v>999</v>
      </c>
      <c r="I40" s="112">
        <v>999</v>
      </c>
      <c r="J40" s="112">
        <v>3387.9995768887215</v>
      </c>
      <c r="K40" s="112">
        <v>1366.0474358250049</v>
      </c>
      <c r="L40" s="112">
        <v>0</v>
      </c>
      <c r="M40" s="112">
        <v>999</v>
      </c>
    </row>
    <row r="41" spans="1:13" x14ac:dyDescent="0.25">
      <c r="A41" s="113" t="s">
        <v>205</v>
      </c>
      <c r="B41" s="112">
        <v>999</v>
      </c>
      <c r="C41" s="112">
        <v>999</v>
      </c>
      <c r="D41" s="112">
        <v>999</v>
      </c>
      <c r="E41" s="112">
        <v>999</v>
      </c>
      <c r="F41" s="112">
        <v>999</v>
      </c>
      <c r="G41" s="112">
        <v>999</v>
      </c>
      <c r="H41" s="112">
        <v>999</v>
      </c>
      <c r="I41" s="112">
        <v>999</v>
      </c>
      <c r="J41" s="112">
        <v>3173.3560843247756</v>
      </c>
      <c r="K41" s="112">
        <v>1678.9747533157811</v>
      </c>
      <c r="L41" s="112">
        <v>0</v>
      </c>
      <c r="M41" s="112">
        <v>999</v>
      </c>
    </row>
    <row r="42" spans="1:13" x14ac:dyDescent="0.25">
      <c r="A42" s="113" t="s">
        <v>204</v>
      </c>
      <c r="B42" s="112">
        <v>999</v>
      </c>
      <c r="C42" s="112">
        <v>999</v>
      </c>
      <c r="D42" s="112">
        <v>999</v>
      </c>
      <c r="E42" s="112">
        <v>999</v>
      </c>
      <c r="F42" s="112">
        <v>999</v>
      </c>
      <c r="G42" s="112">
        <v>999</v>
      </c>
      <c r="H42" s="112">
        <v>999</v>
      </c>
      <c r="I42" s="112">
        <v>999</v>
      </c>
      <c r="J42" s="112">
        <v>3714.8901353482129</v>
      </c>
      <c r="K42" s="112">
        <v>3.4216175719848252E-2</v>
      </c>
      <c r="L42" s="112">
        <v>0</v>
      </c>
      <c r="M42" s="112">
        <v>999</v>
      </c>
    </row>
    <row r="43" spans="1:13" x14ac:dyDescent="0.25">
      <c r="A43" s="113" t="s">
        <v>203</v>
      </c>
      <c r="B43" s="112">
        <v>999</v>
      </c>
      <c r="C43" s="112">
        <v>999</v>
      </c>
      <c r="D43" s="112">
        <v>999</v>
      </c>
      <c r="E43" s="112">
        <v>999</v>
      </c>
      <c r="F43" s="112">
        <v>999</v>
      </c>
      <c r="G43" s="112">
        <v>999</v>
      </c>
      <c r="H43" s="112">
        <v>999</v>
      </c>
      <c r="I43" s="112">
        <v>999</v>
      </c>
      <c r="J43" s="112">
        <v>3527.1804312281929</v>
      </c>
      <c r="K43" s="112">
        <v>2575</v>
      </c>
      <c r="L43" s="112">
        <v>0</v>
      </c>
      <c r="M43" s="112">
        <v>999</v>
      </c>
    </row>
    <row r="44" spans="1:13" x14ac:dyDescent="0.25">
      <c r="A44" s="111" t="s">
        <v>202</v>
      </c>
      <c r="B44" s="110">
        <v>165.65342960288808</v>
      </c>
      <c r="C44" s="110">
        <v>352</v>
      </c>
      <c r="D44" s="110">
        <v>398.33333333333337</v>
      </c>
      <c r="E44" s="110">
        <v>5</v>
      </c>
      <c r="F44" s="110">
        <v>560</v>
      </c>
      <c r="G44" s="110">
        <v>74.441380784439389</v>
      </c>
      <c r="H44" s="110">
        <v>419.23127035830612</v>
      </c>
      <c r="I44" s="110">
        <v>272.06373462541933</v>
      </c>
      <c r="J44" s="110">
        <v>0</v>
      </c>
      <c r="K44" s="110">
        <v>0</v>
      </c>
      <c r="L44" s="110">
        <v>0</v>
      </c>
      <c r="M44" s="110">
        <v>638.77211394302799</v>
      </c>
    </row>
    <row r="45" spans="1:13" x14ac:dyDescent="0.25">
      <c r="A45" s="111" t="s">
        <v>201</v>
      </c>
      <c r="B45" s="110">
        <v>165.65342960288808</v>
      </c>
      <c r="C45" s="110">
        <v>0</v>
      </c>
      <c r="D45" s="110">
        <v>315.83245942715791</v>
      </c>
      <c r="E45" s="110">
        <v>0</v>
      </c>
      <c r="F45" s="110">
        <v>0</v>
      </c>
      <c r="G45" s="110">
        <v>138.28470637441035</v>
      </c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</row>
    <row r="46" spans="1:13" x14ac:dyDescent="0.25">
      <c r="A46" s="111" t="s">
        <v>200</v>
      </c>
      <c r="B46" s="110">
        <v>331</v>
      </c>
      <c r="C46" s="110">
        <v>403</v>
      </c>
      <c r="D46" s="110">
        <v>307.77016742770161</v>
      </c>
      <c r="E46" s="110">
        <v>0</v>
      </c>
      <c r="F46" s="110">
        <v>32</v>
      </c>
      <c r="G46" s="110">
        <v>584.4185161699429</v>
      </c>
      <c r="H46" s="110">
        <v>10.231394281440089</v>
      </c>
      <c r="I46" s="110">
        <v>219.87321806059947</v>
      </c>
      <c r="J46" s="110">
        <v>0</v>
      </c>
      <c r="K46" s="110">
        <v>0</v>
      </c>
      <c r="L46" s="110">
        <v>0</v>
      </c>
      <c r="M46" s="110">
        <v>0</v>
      </c>
    </row>
    <row r="47" spans="1:13" x14ac:dyDescent="0.25">
      <c r="A47" s="111" t="s">
        <v>199</v>
      </c>
      <c r="B47" s="110">
        <v>165.65342960288808</v>
      </c>
      <c r="C47" s="110">
        <v>188</v>
      </c>
      <c r="D47" s="110">
        <v>242.31796752226296</v>
      </c>
      <c r="E47" s="110">
        <v>68</v>
      </c>
      <c r="F47" s="110">
        <v>38</v>
      </c>
      <c r="G47" s="110">
        <v>177.23790000347503</v>
      </c>
      <c r="H47" s="110">
        <v>116.05517087133842</v>
      </c>
      <c r="I47" s="110">
        <v>119.0412339645693</v>
      </c>
      <c r="J47" s="110">
        <v>0</v>
      </c>
      <c r="K47" s="110">
        <v>0</v>
      </c>
      <c r="L47" s="110">
        <v>0</v>
      </c>
      <c r="M47" s="110">
        <v>0</v>
      </c>
    </row>
    <row r="48" spans="1:13" x14ac:dyDescent="0.25">
      <c r="A48" s="111" t="s">
        <v>198</v>
      </c>
      <c r="B48" s="110">
        <v>165.65342960288808</v>
      </c>
      <c r="C48" s="110">
        <v>231</v>
      </c>
      <c r="D48" s="110">
        <v>565</v>
      </c>
      <c r="E48" s="110">
        <v>59</v>
      </c>
      <c r="F48" s="110">
        <v>128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</row>
    <row r="49" spans="1:13" x14ac:dyDescent="0.25">
      <c r="A49" s="111" t="s">
        <v>197</v>
      </c>
      <c r="B49" s="110">
        <v>0.30685920577622028</v>
      </c>
      <c r="C49" s="110">
        <v>68</v>
      </c>
      <c r="D49" s="110">
        <v>115</v>
      </c>
      <c r="E49" s="110">
        <v>226</v>
      </c>
      <c r="F49" s="110">
        <v>558</v>
      </c>
      <c r="G49" s="110">
        <v>204.56152651567595</v>
      </c>
      <c r="H49" s="110">
        <v>0</v>
      </c>
      <c r="I49" s="110">
        <v>198.52099535474906</v>
      </c>
      <c r="J49" s="110">
        <v>0</v>
      </c>
      <c r="K49" s="110">
        <v>0</v>
      </c>
      <c r="L49" s="110">
        <v>0</v>
      </c>
      <c r="M49" s="110">
        <v>396.31379526899696</v>
      </c>
    </row>
    <row r="50" spans="1:13" x14ac:dyDescent="0.25">
      <c r="A50" s="2"/>
      <c r="B50" s="2"/>
      <c r="C50" s="2"/>
    </row>
    <row r="51" spans="1:13" x14ac:dyDescent="0.25">
      <c r="A51" s="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43"/>
      <c r="C53" s="43"/>
      <c r="D53" s="2"/>
      <c r="E53" s="43"/>
      <c r="F53" s="43"/>
      <c r="G53" s="43"/>
      <c r="H53" s="43"/>
      <c r="I53" s="43"/>
      <c r="J53" s="43"/>
      <c r="K53" s="43"/>
      <c r="L53" s="43"/>
      <c r="M53" s="43"/>
    </row>
    <row r="54" spans="1:13" x14ac:dyDescent="0.25">
      <c r="A54" s="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1:13" x14ac:dyDescent="0.25">
      <c r="A55" s="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1:13" x14ac:dyDescent="0.25">
      <c r="A56" s="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1:13" x14ac:dyDescent="0.25">
      <c r="A57" s="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spans="1:13" x14ac:dyDescent="0.25">
      <c r="A58" s="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spans="1:13" x14ac:dyDescent="0.25">
      <c r="A59" s="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spans="1:13" x14ac:dyDescent="0.25">
      <c r="A60" s="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4.5" x14ac:dyDescent="0.25">
      <c r="A62" s="2"/>
      <c r="B62" s="2"/>
      <c r="C62" s="2"/>
      <c r="D62" s="2"/>
      <c r="E62" s="2"/>
      <c r="F62" s="2"/>
      <c r="G62" s="2"/>
      <c r="H62" s="2"/>
      <c r="I62" s="105"/>
      <c r="J62" s="105"/>
      <c r="K62" s="105"/>
      <c r="L62" s="2"/>
      <c r="M62" s="105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43"/>
      <c r="J63" s="43"/>
      <c r="K63" s="43"/>
      <c r="L63" s="2"/>
      <c r="M63" s="43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43"/>
      <c r="J64" s="43"/>
      <c r="K64" s="43"/>
      <c r="L64" s="2"/>
      <c r="M64" s="43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43"/>
      <c r="J65" s="43"/>
      <c r="K65" s="43"/>
      <c r="L65" s="2"/>
      <c r="M65" s="43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43"/>
      <c r="J66" s="43"/>
      <c r="K66" s="43"/>
      <c r="L66" s="2"/>
      <c r="M66" s="43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43"/>
      <c r="J67" s="43"/>
      <c r="K67" s="43"/>
      <c r="L67" s="2"/>
      <c r="M67" s="43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43"/>
      <c r="J68" s="43"/>
      <c r="K68" s="43"/>
      <c r="L68" s="2"/>
      <c r="M68" s="43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43"/>
      <c r="J69" s="43"/>
      <c r="K69" s="43"/>
      <c r="L69" s="2"/>
      <c r="M69" s="43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43"/>
      <c r="J70" s="43"/>
      <c r="K70" s="43"/>
      <c r="L70" s="2"/>
      <c r="M70" s="43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CropMarkets</vt:lpstr>
      <vt:lpstr>CropDem</vt:lpstr>
      <vt:lpstr>DemElasticity</vt:lpstr>
      <vt:lpstr>CropMinDem</vt:lpstr>
      <vt:lpstr>CropValue</vt:lpstr>
      <vt:lpstr>CropFarmValue</vt:lpstr>
      <vt:lpstr>CropTransport</vt:lpstr>
      <vt:lpstr>TransportCost</vt:lpstr>
      <vt:lpstr>TransportCostFormulas</vt:lpstr>
      <vt:lpstr>CropDemand</vt:lpstr>
      <vt:lpstr>NationalProd</vt:lpstr>
      <vt:lpstr>CountryStats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2018-09-13T11:18:36Z</dcterms:created>
  <dcterms:modified xsi:type="dcterms:W3CDTF">2020-06-01T12:52:06Z</dcterms:modified>
</cp:coreProperties>
</file>