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ain_newmpc\Data\"/>
    </mc:Choice>
  </mc:AlternateContent>
  <bookViews>
    <workbookView xWindow="0" yWindow="0" windowWidth="9570" windowHeight="1350" activeTab="1"/>
  </bookViews>
  <sheets>
    <sheet name="Info" sheetId="11" r:id="rId1"/>
    <sheet name="FarmingZones" sheetId="13" r:id="rId2"/>
    <sheet name="FarmingZonesLandCap" sheetId="30" r:id="rId3"/>
    <sheet name="Crops" sheetId="1" r:id="rId4"/>
    <sheet name="Cultures" sheetId="7" r:id="rId5"/>
    <sheet name="ReturnFlows" sheetId="20" r:id="rId6"/>
    <sheet name="FarmTypes" sheetId="19" r:id="rId7"/>
    <sheet name="Yields" sheetId="16" r:id="rId8"/>
    <sheet name="CulCost" sheetId="18" r:id="rId9"/>
    <sheet name="Fields" sheetId="9" r:id="rId10"/>
    <sheet name="GrowthPhases" sheetId="10" r:id="rId11"/>
    <sheet name="PhaseMonth" sheetId="8" r:id="rId12"/>
    <sheet name="CropCoefficient" sheetId="31" r:id="rId13"/>
    <sheet name="GrowthPhases_1" sheetId="33" r:id="rId14"/>
    <sheet name="PhaseMonth_1" sheetId="32" r:id="rId15"/>
    <sheet name="YieldMatrix" sheetId="12" r:id="rId16"/>
    <sheet name="YieldMatrix2" sheetId="29" r:id="rId17"/>
    <sheet name="MaxCultureArea" sheetId="14" r:id="rId18"/>
    <sheet name="WorldBankData" sheetId="28" r:id="rId19"/>
  </sheets>
  <definedNames>
    <definedName name="_xlnm._FilterDatabase" localSheetId="1" hidden="1">FarmingZones!$A$22:$I$60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51" i="14" l="1"/>
  <c r="M254" i="14"/>
  <c r="C81" i="30"/>
  <c r="C23" i="31" l="1"/>
  <c r="B23" i="31"/>
  <c r="BB46" i="28" l="1"/>
  <c r="O252" i="14" l="1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C252" i="14"/>
  <c r="D252" i="14"/>
  <c r="E252" i="14"/>
  <c r="F252" i="14"/>
  <c r="G252" i="14"/>
  <c r="H252" i="14"/>
  <c r="I252" i="14"/>
  <c r="J252" i="14"/>
  <c r="K252" i="14"/>
  <c r="L252" i="14"/>
  <c r="M252" i="14"/>
  <c r="Q252" i="14"/>
  <c r="R252" i="14"/>
  <c r="S252" i="14"/>
  <c r="C253" i="14"/>
  <c r="D253" i="14"/>
  <c r="E253" i="14"/>
  <c r="F253" i="14"/>
  <c r="G253" i="14"/>
  <c r="H253" i="14"/>
  <c r="I253" i="14"/>
  <c r="J253" i="14"/>
  <c r="K253" i="14"/>
  <c r="L253" i="14"/>
  <c r="M253" i="14"/>
  <c r="O253" i="14"/>
  <c r="Q253" i="14"/>
  <c r="R253" i="14"/>
  <c r="S253" i="14"/>
  <c r="C254" i="14"/>
  <c r="D254" i="14"/>
  <c r="E254" i="14"/>
  <c r="F254" i="14"/>
  <c r="G254" i="14"/>
  <c r="H254" i="14"/>
  <c r="I254" i="14"/>
  <c r="J254" i="14"/>
  <c r="K254" i="14"/>
  <c r="L254" i="14"/>
  <c r="O254" i="14"/>
  <c r="Q254" i="14"/>
  <c r="R254" i="14"/>
  <c r="S254" i="14"/>
  <c r="C255" i="14"/>
  <c r="D255" i="14"/>
  <c r="E255" i="14"/>
  <c r="F255" i="14"/>
  <c r="G255" i="14"/>
  <c r="H255" i="14"/>
  <c r="I255" i="14"/>
  <c r="J255" i="14"/>
  <c r="K255" i="14"/>
  <c r="L255" i="14"/>
  <c r="M255" i="14"/>
  <c r="O255" i="14"/>
  <c r="Q255" i="14"/>
  <c r="R255" i="14"/>
  <c r="S255" i="14"/>
  <c r="C256" i="14"/>
  <c r="D256" i="14"/>
  <c r="E256" i="14"/>
  <c r="F256" i="14"/>
  <c r="G256" i="14"/>
  <c r="H256" i="14"/>
  <c r="I256" i="14"/>
  <c r="J256" i="14"/>
  <c r="K256" i="14"/>
  <c r="L256" i="14"/>
  <c r="M256" i="14"/>
  <c r="O256" i="14"/>
  <c r="Q256" i="14"/>
  <c r="R256" i="14"/>
  <c r="S256" i="14"/>
  <c r="C257" i="14"/>
  <c r="D257" i="14"/>
  <c r="E257" i="14"/>
  <c r="F257" i="14"/>
  <c r="G257" i="14"/>
  <c r="H257" i="14"/>
  <c r="I257" i="14"/>
  <c r="J257" i="14"/>
  <c r="K257" i="14"/>
  <c r="L257" i="14"/>
  <c r="M257" i="14"/>
  <c r="O257" i="14"/>
  <c r="Q257" i="14"/>
  <c r="R257" i="14"/>
  <c r="S257" i="14"/>
  <c r="C258" i="14"/>
  <c r="D258" i="14"/>
  <c r="E258" i="14"/>
  <c r="F258" i="14"/>
  <c r="G258" i="14"/>
  <c r="H258" i="14"/>
  <c r="I258" i="14"/>
  <c r="J258" i="14"/>
  <c r="K258" i="14"/>
  <c r="L258" i="14"/>
  <c r="M258" i="14"/>
  <c r="O258" i="14"/>
  <c r="Q258" i="14"/>
  <c r="R258" i="14"/>
  <c r="S258" i="14"/>
  <c r="C259" i="14"/>
  <c r="D259" i="14"/>
  <c r="E259" i="14"/>
  <c r="F259" i="14"/>
  <c r="G259" i="14"/>
  <c r="H259" i="14"/>
  <c r="I259" i="14"/>
  <c r="J259" i="14"/>
  <c r="K259" i="14"/>
  <c r="L259" i="14"/>
  <c r="M259" i="14"/>
  <c r="O259" i="14"/>
  <c r="Q259" i="14"/>
  <c r="R259" i="14"/>
  <c r="S259" i="14"/>
  <c r="C260" i="14"/>
  <c r="D260" i="14"/>
  <c r="E260" i="14"/>
  <c r="F260" i="14"/>
  <c r="G260" i="14"/>
  <c r="H260" i="14"/>
  <c r="I260" i="14"/>
  <c r="J260" i="14"/>
  <c r="K260" i="14"/>
  <c r="L260" i="14"/>
  <c r="M260" i="14"/>
  <c r="O260" i="14"/>
  <c r="Q260" i="14"/>
  <c r="R260" i="14"/>
  <c r="S260" i="14"/>
  <c r="C261" i="14"/>
  <c r="D261" i="14"/>
  <c r="E261" i="14"/>
  <c r="F261" i="14"/>
  <c r="G261" i="14"/>
  <c r="H261" i="14"/>
  <c r="I261" i="14"/>
  <c r="J261" i="14"/>
  <c r="K261" i="14"/>
  <c r="L261" i="14"/>
  <c r="M261" i="14"/>
  <c r="O261" i="14"/>
  <c r="Q261" i="14"/>
  <c r="R261" i="14"/>
  <c r="S261" i="14"/>
  <c r="C262" i="14"/>
  <c r="D262" i="14"/>
  <c r="E262" i="14"/>
  <c r="F262" i="14"/>
  <c r="G262" i="14"/>
  <c r="H262" i="14"/>
  <c r="I262" i="14"/>
  <c r="J262" i="14"/>
  <c r="K262" i="14"/>
  <c r="L262" i="14"/>
  <c r="M262" i="14"/>
  <c r="O262" i="14"/>
  <c r="Q262" i="14"/>
  <c r="R262" i="14"/>
  <c r="S262" i="14"/>
  <c r="C263" i="14"/>
  <c r="D263" i="14"/>
  <c r="E263" i="14"/>
  <c r="F263" i="14"/>
  <c r="G263" i="14"/>
  <c r="H263" i="14"/>
  <c r="I263" i="14"/>
  <c r="J263" i="14"/>
  <c r="K263" i="14"/>
  <c r="L263" i="14"/>
  <c r="M263" i="14"/>
  <c r="O263" i="14"/>
  <c r="Q263" i="14"/>
  <c r="R263" i="14"/>
  <c r="S263" i="14"/>
  <c r="C264" i="14"/>
  <c r="D264" i="14"/>
  <c r="E264" i="14"/>
  <c r="F264" i="14"/>
  <c r="G264" i="14"/>
  <c r="H264" i="14"/>
  <c r="I264" i="14"/>
  <c r="J264" i="14"/>
  <c r="K264" i="14"/>
  <c r="L264" i="14"/>
  <c r="M264" i="14"/>
  <c r="O264" i="14"/>
  <c r="Q264" i="14"/>
  <c r="R264" i="14"/>
  <c r="S264" i="14"/>
  <c r="C265" i="14"/>
  <c r="D265" i="14"/>
  <c r="E265" i="14"/>
  <c r="F265" i="14"/>
  <c r="G265" i="14"/>
  <c r="H265" i="14"/>
  <c r="I265" i="14"/>
  <c r="J265" i="14"/>
  <c r="K265" i="14"/>
  <c r="L265" i="14"/>
  <c r="M265" i="14"/>
  <c r="O265" i="14"/>
  <c r="Q265" i="14"/>
  <c r="R265" i="14"/>
  <c r="S265" i="14"/>
  <c r="C266" i="14"/>
  <c r="D266" i="14"/>
  <c r="E266" i="14"/>
  <c r="F266" i="14"/>
  <c r="G266" i="14"/>
  <c r="H266" i="14"/>
  <c r="I266" i="14"/>
  <c r="J266" i="14"/>
  <c r="K266" i="14"/>
  <c r="L266" i="14"/>
  <c r="M266" i="14"/>
  <c r="O266" i="14"/>
  <c r="Q266" i="14"/>
  <c r="R266" i="14"/>
  <c r="S266" i="14"/>
  <c r="C267" i="14"/>
  <c r="D267" i="14"/>
  <c r="E267" i="14"/>
  <c r="F267" i="14"/>
  <c r="G267" i="14"/>
  <c r="H267" i="14"/>
  <c r="I267" i="14"/>
  <c r="J267" i="14"/>
  <c r="K267" i="14"/>
  <c r="L267" i="14"/>
  <c r="M267" i="14"/>
  <c r="O267" i="14"/>
  <c r="Q267" i="14"/>
  <c r="R267" i="14"/>
  <c r="S267" i="14"/>
  <c r="C268" i="14"/>
  <c r="D268" i="14"/>
  <c r="E268" i="14"/>
  <c r="F268" i="14"/>
  <c r="G268" i="14"/>
  <c r="H268" i="14"/>
  <c r="I268" i="14"/>
  <c r="J268" i="14"/>
  <c r="K268" i="14"/>
  <c r="L268" i="14"/>
  <c r="M268" i="14"/>
  <c r="O268" i="14"/>
  <c r="Q268" i="14"/>
  <c r="R268" i="14"/>
  <c r="S268" i="14"/>
  <c r="C269" i="14"/>
  <c r="D269" i="14"/>
  <c r="E269" i="14"/>
  <c r="F269" i="14"/>
  <c r="G269" i="14"/>
  <c r="H269" i="14"/>
  <c r="I269" i="14"/>
  <c r="J269" i="14"/>
  <c r="K269" i="14"/>
  <c r="L269" i="14"/>
  <c r="M269" i="14"/>
  <c r="O269" i="14"/>
  <c r="Q269" i="14"/>
  <c r="R269" i="14"/>
  <c r="S269" i="14"/>
  <c r="D251" i="14"/>
  <c r="E251" i="14"/>
  <c r="F251" i="14"/>
  <c r="G251" i="14"/>
  <c r="H251" i="14"/>
  <c r="I251" i="14"/>
  <c r="J251" i="14"/>
  <c r="K251" i="14"/>
  <c r="L251" i="14"/>
  <c r="M251" i="14"/>
  <c r="O251" i="14"/>
  <c r="Q251" i="14"/>
  <c r="R251" i="14"/>
  <c r="S251" i="14"/>
  <c r="C251" i="14"/>
  <c r="C83" i="10" l="1"/>
  <c r="C459" i="30" l="1"/>
  <c r="C458" i="30"/>
  <c r="C457" i="30"/>
  <c r="C456" i="30"/>
  <c r="C455" i="30"/>
  <c r="C454" i="30"/>
  <c r="C453" i="30"/>
  <c r="C452" i="30"/>
  <c r="C451" i="30"/>
  <c r="C450" i="30"/>
  <c r="C449" i="30"/>
  <c r="C448" i="30"/>
  <c r="C447" i="30"/>
  <c r="C446" i="30"/>
  <c r="C445" i="30"/>
  <c r="C444" i="30"/>
  <c r="C443" i="30"/>
  <c r="C442" i="30"/>
  <c r="C441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L81" i="30"/>
  <c r="L80" i="30"/>
  <c r="C80" i="30"/>
  <c r="L79" i="30"/>
  <c r="I79" i="30"/>
  <c r="L78" i="30"/>
  <c r="L77" i="30"/>
  <c r="L76" i="30"/>
  <c r="I76" i="30"/>
  <c r="L75" i="30"/>
  <c r="L74" i="30"/>
  <c r="L73" i="30"/>
  <c r="L72" i="30"/>
  <c r="I72" i="30"/>
  <c r="L71" i="30"/>
  <c r="L70" i="30"/>
  <c r="I70" i="30"/>
  <c r="L69" i="30"/>
  <c r="L68" i="30"/>
  <c r="I68" i="30"/>
  <c r="L67" i="30"/>
  <c r="I67" i="30"/>
  <c r="L66" i="30"/>
  <c r="I66" i="30"/>
  <c r="L65" i="30"/>
  <c r="L64" i="30"/>
  <c r="I64" i="30"/>
  <c r="L63" i="30"/>
  <c r="I63" i="30"/>
  <c r="N17" i="30"/>
  <c r="L17" i="30"/>
  <c r="J17" i="30"/>
  <c r="N16" i="30"/>
  <c r="L16" i="30"/>
  <c r="J16" i="30"/>
  <c r="N15" i="30"/>
  <c r="L15" i="30"/>
  <c r="J15" i="30"/>
  <c r="N14" i="30"/>
  <c r="L14" i="30"/>
  <c r="J14" i="30"/>
  <c r="N13" i="30"/>
  <c r="L13" i="30"/>
  <c r="J13" i="30"/>
  <c r="N12" i="30"/>
  <c r="L12" i="30"/>
  <c r="J12" i="30"/>
  <c r="N11" i="30"/>
  <c r="L11" i="30"/>
  <c r="J11" i="30"/>
  <c r="N10" i="30"/>
  <c r="L10" i="30"/>
  <c r="J10" i="30"/>
  <c r="G10" i="30"/>
  <c r="I81" i="30" s="1"/>
  <c r="N9" i="30"/>
  <c r="L9" i="30"/>
  <c r="J9" i="30"/>
  <c r="N8" i="30"/>
  <c r="L8" i="30"/>
  <c r="J8" i="30"/>
  <c r="N7" i="30"/>
  <c r="L7" i="30"/>
  <c r="J7" i="30"/>
  <c r="N6" i="30"/>
  <c r="L6" i="30"/>
  <c r="J6" i="30"/>
  <c r="N5" i="30"/>
  <c r="L5" i="30"/>
  <c r="J5" i="30"/>
  <c r="I65" i="30" l="1"/>
  <c r="I74" i="30"/>
  <c r="I80" i="30"/>
  <c r="I69" i="30"/>
  <c r="I71" i="30"/>
  <c r="I73" i="30"/>
  <c r="I75" i="30"/>
  <c r="I77" i="30"/>
  <c r="I78" i="30"/>
  <c r="C232" i="14" l="1"/>
  <c r="D232" i="14"/>
  <c r="E232" i="14"/>
  <c r="F232" i="14"/>
  <c r="G232" i="14"/>
  <c r="H232" i="14"/>
  <c r="I232" i="14"/>
  <c r="J232" i="14"/>
  <c r="K232" i="14"/>
  <c r="L232" i="14"/>
  <c r="M232" i="14"/>
  <c r="O232" i="14"/>
  <c r="P232" i="14"/>
  <c r="Q232" i="14"/>
  <c r="R232" i="14"/>
  <c r="S232" i="14"/>
  <c r="C233" i="14"/>
  <c r="D233" i="14"/>
  <c r="E233" i="14"/>
  <c r="F233" i="14"/>
  <c r="G233" i="14"/>
  <c r="H233" i="14"/>
  <c r="I233" i="14"/>
  <c r="J233" i="14"/>
  <c r="K233" i="14"/>
  <c r="L233" i="14"/>
  <c r="M233" i="14"/>
  <c r="O233" i="14"/>
  <c r="P233" i="14"/>
  <c r="Q233" i="14"/>
  <c r="R233" i="14"/>
  <c r="S233" i="14"/>
  <c r="C234" i="14"/>
  <c r="D234" i="14"/>
  <c r="E234" i="14"/>
  <c r="F234" i="14"/>
  <c r="G234" i="14"/>
  <c r="H234" i="14"/>
  <c r="I234" i="14"/>
  <c r="J234" i="14"/>
  <c r="K234" i="14"/>
  <c r="L234" i="14"/>
  <c r="M234" i="14"/>
  <c r="O234" i="14"/>
  <c r="P234" i="14"/>
  <c r="Q234" i="14"/>
  <c r="R234" i="14"/>
  <c r="S234" i="14"/>
  <c r="C235" i="14"/>
  <c r="D235" i="14"/>
  <c r="E235" i="14"/>
  <c r="F235" i="14"/>
  <c r="G235" i="14"/>
  <c r="H235" i="14"/>
  <c r="I235" i="14"/>
  <c r="J235" i="14"/>
  <c r="K235" i="14"/>
  <c r="L235" i="14"/>
  <c r="M235" i="14"/>
  <c r="O235" i="14"/>
  <c r="P235" i="14"/>
  <c r="Q235" i="14"/>
  <c r="R235" i="14"/>
  <c r="S235" i="14"/>
  <c r="C236" i="14"/>
  <c r="D236" i="14"/>
  <c r="E236" i="14"/>
  <c r="F236" i="14"/>
  <c r="G236" i="14"/>
  <c r="H236" i="14"/>
  <c r="I236" i="14"/>
  <c r="J236" i="14"/>
  <c r="K236" i="14"/>
  <c r="L236" i="14"/>
  <c r="M236" i="14"/>
  <c r="O236" i="14"/>
  <c r="P236" i="14"/>
  <c r="Q236" i="14"/>
  <c r="R236" i="14"/>
  <c r="S236" i="14"/>
  <c r="C237" i="14"/>
  <c r="D237" i="14"/>
  <c r="E237" i="14"/>
  <c r="F237" i="14"/>
  <c r="G237" i="14"/>
  <c r="H237" i="14"/>
  <c r="I237" i="14"/>
  <c r="J237" i="14"/>
  <c r="K237" i="14"/>
  <c r="L237" i="14"/>
  <c r="M237" i="14"/>
  <c r="O237" i="14"/>
  <c r="P237" i="14"/>
  <c r="Q237" i="14"/>
  <c r="R237" i="14"/>
  <c r="S237" i="14"/>
  <c r="C238" i="14"/>
  <c r="D238" i="14"/>
  <c r="E238" i="14"/>
  <c r="F238" i="14"/>
  <c r="G238" i="14"/>
  <c r="H238" i="14"/>
  <c r="I238" i="14"/>
  <c r="J238" i="14"/>
  <c r="K238" i="14"/>
  <c r="L238" i="14"/>
  <c r="M238" i="14"/>
  <c r="O238" i="14"/>
  <c r="P238" i="14"/>
  <c r="Q238" i="14"/>
  <c r="R238" i="14"/>
  <c r="S238" i="14"/>
  <c r="C239" i="14"/>
  <c r="D239" i="14"/>
  <c r="E239" i="14"/>
  <c r="F239" i="14"/>
  <c r="G239" i="14"/>
  <c r="H239" i="14"/>
  <c r="I239" i="14"/>
  <c r="J239" i="14"/>
  <c r="K239" i="14"/>
  <c r="L239" i="14"/>
  <c r="M239" i="14"/>
  <c r="O239" i="14"/>
  <c r="P239" i="14"/>
  <c r="Q239" i="14"/>
  <c r="R239" i="14"/>
  <c r="S239" i="14"/>
  <c r="C240" i="14"/>
  <c r="D240" i="14"/>
  <c r="E240" i="14"/>
  <c r="F240" i="14"/>
  <c r="G240" i="14"/>
  <c r="H240" i="14"/>
  <c r="I240" i="14"/>
  <c r="J240" i="14"/>
  <c r="K240" i="14"/>
  <c r="L240" i="14"/>
  <c r="M240" i="14"/>
  <c r="O240" i="14"/>
  <c r="P240" i="14"/>
  <c r="Q240" i="14"/>
  <c r="R240" i="14"/>
  <c r="S240" i="14"/>
  <c r="C241" i="14"/>
  <c r="D241" i="14"/>
  <c r="E241" i="14"/>
  <c r="F241" i="14"/>
  <c r="G241" i="14"/>
  <c r="H241" i="14"/>
  <c r="I241" i="14"/>
  <c r="J241" i="14"/>
  <c r="K241" i="14"/>
  <c r="L241" i="14"/>
  <c r="M241" i="14"/>
  <c r="O241" i="14"/>
  <c r="P241" i="14"/>
  <c r="Q241" i="14"/>
  <c r="R241" i="14"/>
  <c r="S241" i="14"/>
  <c r="C242" i="14"/>
  <c r="D242" i="14"/>
  <c r="E242" i="14"/>
  <c r="F242" i="14"/>
  <c r="G242" i="14"/>
  <c r="H242" i="14"/>
  <c r="I242" i="14"/>
  <c r="J242" i="14"/>
  <c r="K242" i="14"/>
  <c r="L242" i="14"/>
  <c r="M242" i="14"/>
  <c r="O242" i="14"/>
  <c r="P242" i="14"/>
  <c r="Q242" i="14"/>
  <c r="R242" i="14"/>
  <c r="S242" i="14"/>
  <c r="C243" i="14"/>
  <c r="D243" i="14"/>
  <c r="E243" i="14"/>
  <c r="F243" i="14"/>
  <c r="G243" i="14"/>
  <c r="H243" i="14"/>
  <c r="I243" i="14"/>
  <c r="J243" i="14"/>
  <c r="K243" i="14"/>
  <c r="L243" i="14"/>
  <c r="M243" i="14"/>
  <c r="O243" i="14"/>
  <c r="P243" i="14"/>
  <c r="Q243" i="14"/>
  <c r="R243" i="14"/>
  <c r="S243" i="14"/>
  <c r="C244" i="14"/>
  <c r="D244" i="14"/>
  <c r="E244" i="14"/>
  <c r="F244" i="14"/>
  <c r="G244" i="14"/>
  <c r="H244" i="14"/>
  <c r="I244" i="14"/>
  <c r="J244" i="14"/>
  <c r="K244" i="14"/>
  <c r="L244" i="14"/>
  <c r="M244" i="14"/>
  <c r="O244" i="14"/>
  <c r="P244" i="14"/>
  <c r="Q244" i="14"/>
  <c r="R244" i="14"/>
  <c r="S244" i="14"/>
  <c r="C245" i="14"/>
  <c r="D245" i="14"/>
  <c r="E245" i="14"/>
  <c r="F245" i="14"/>
  <c r="G245" i="14"/>
  <c r="H245" i="14"/>
  <c r="I245" i="14"/>
  <c r="J245" i="14"/>
  <c r="K245" i="14"/>
  <c r="L245" i="14"/>
  <c r="M245" i="14"/>
  <c r="O245" i="14"/>
  <c r="P245" i="14"/>
  <c r="Q245" i="14"/>
  <c r="R245" i="14"/>
  <c r="S245" i="14"/>
  <c r="C246" i="14"/>
  <c r="D246" i="14"/>
  <c r="E246" i="14"/>
  <c r="F246" i="14"/>
  <c r="G246" i="14"/>
  <c r="H246" i="14"/>
  <c r="I246" i="14"/>
  <c r="J246" i="14"/>
  <c r="K246" i="14"/>
  <c r="L246" i="14"/>
  <c r="M246" i="14"/>
  <c r="O246" i="14"/>
  <c r="P246" i="14"/>
  <c r="Q246" i="14"/>
  <c r="R246" i="14"/>
  <c r="S246" i="14"/>
  <c r="C247" i="14"/>
  <c r="D247" i="14"/>
  <c r="E247" i="14"/>
  <c r="F247" i="14"/>
  <c r="G247" i="14"/>
  <c r="H247" i="14"/>
  <c r="I247" i="14"/>
  <c r="J247" i="14"/>
  <c r="K247" i="14"/>
  <c r="L247" i="14"/>
  <c r="M247" i="14"/>
  <c r="O247" i="14"/>
  <c r="P247" i="14"/>
  <c r="Q247" i="14"/>
  <c r="R247" i="14"/>
  <c r="S247" i="14"/>
  <c r="C248" i="14"/>
  <c r="D248" i="14"/>
  <c r="E248" i="14"/>
  <c r="F248" i="14"/>
  <c r="G248" i="14"/>
  <c r="H248" i="14"/>
  <c r="I248" i="14"/>
  <c r="J248" i="14"/>
  <c r="K248" i="14"/>
  <c r="L248" i="14"/>
  <c r="M248" i="14"/>
  <c r="O248" i="14"/>
  <c r="P248" i="14"/>
  <c r="Q248" i="14"/>
  <c r="R248" i="14"/>
  <c r="S248" i="14"/>
  <c r="C249" i="14"/>
  <c r="D249" i="14"/>
  <c r="E249" i="14"/>
  <c r="F249" i="14"/>
  <c r="G249" i="14"/>
  <c r="H249" i="14"/>
  <c r="I249" i="14"/>
  <c r="J249" i="14"/>
  <c r="K249" i="14"/>
  <c r="L249" i="14"/>
  <c r="M249" i="14"/>
  <c r="O249" i="14"/>
  <c r="P249" i="14"/>
  <c r="Q249" i="14"/>
  <c r="R249" i="14"/>
  <c r="S249" i="14"/>
  <c r="C250" i="14"/>
  <c r="D250" i="14"/>
  <c r="E250" i="14"/>
  <c r="F250" i="14"/>
  <c r="G250" i="14"/>
  <c r="H250" i="14"/>
  <c r="I250" i="14"/>
  <c r="J250" i="14"/>
  <c r="K250" i="14"/>
  <c r="L250" i="14"/>
  <c r="M250" i="14"/>
  <c r="O250" i="14"/>
  <c r="P250" i="14"/>
  <c r="Q250" i="14"/>
  <c r="R250" i="14"/>
  <c r="S250" i="14"/>
  <c r="G10" i="13" l="1"/>
  <c r="L8" i="16" l="1"/>
  <c r="I147" i="28" l="1"/>
  <c r="H147" i="28"/>
  <c r="I146" i="28"/>
  <c r="H146" i="28"/>
  <c r="I145" i="28"/>
  <c r="H145" i="28"/>
  <c r="I144" i="28"/>
  <c r="H144" i="28"/>
  <c r="I143" i="28"/>
  <c r="H143" i="28"/>
  <c r="AA43" i="28" l="1"/>
  <c r="O15" i="18" l="1"/>
  <c r="F50" i="18" s="1"/>
  <c r="O14" i="18"/>
  <c r="E50" i="18" s="1"/>
  <c r="O7" i="18"/>
  <c r="J53" i="18" s="1"/>
  <c r="O8" i="18"/>
  <c r="G52" i="18" s="1"/>
  <c r="O9" i="18"/>
  <c r="C48" i="18" s="1"/>
  <c r="O10" i="18"/>
  <c r="K55" i="18" s="1"/>
  <c r="O11" i="18"/>
  <c r="R47" i="18" s="1"/>
  <c r="O12" i="18"/>
  <c r="P58" i="18" s="1"/>
  <c r="O13" i="18"/>
  <c r="S52" i="18" s="1"/>
  <c r="O16" i="18"/>
  <c r="O17" i="18"/>
  <c r="I54" i="18" s="1"/>
  <c r="O6" i="18"/>
  <c r="D48" i="18" s="1"/>
  <c r="N9" i="18"/>
  <c r="C41" i="18" s="1"/>
  <c r="M14" i="18"/>
  <c r="E26" i="18" s="1"/>
  <c r="N14" i="18"/>
  <c r="E35" i="18" s="1"/>
  <c r="N7" i="18"/>
  <c r="J44" i="18" s="1"/>
  <c r="N8" i="18"/>
  <c r="G36" i="18" s="1"/>
  <c r="N10" i="18"/>
  <c r="N11" i="18"/>
  <c r="M36" i="18" s="1"/>
  <c r="N12" i="18"/>
  <c r="P40" i="18" s="1"/>
  <c r="N13" i="18"/>
  <c r="S37" i="18" s="1"/>
  <c r="N15" i="18"/>
  <c r="F37" i="18" s="1"/>
  <c r="N16" i="18"/>
  <c r="N17" i="18"/>
  <c r="I37" i="18" s="1"/>
  <c r="N6" i="18"/>
  <c r="D38" i="18" s="1"/>
  <c r="M7" i="18"/>
  <c r="J27" i="18" s="1"/>
  <c r="M8" i="18"/>
  <c r="G24" i="18" s="1"/>
  <c r="M9" i="18"/>
  <c r="C24" i="18" s="1"/>
  <c r="M10" i="18"/>
  <c r="K25" i="18" s="1"/>
  <c r="M11" i="18"/>
  <c r="M25" i="18" s="1"/>
  <c r="M12" i="18"/>
  <c r="P27" i="18" s="1"/>
  <c r="M13" i="18"/>
  <c r="S26" i="18" s="1"/>
  <c r="M15" i="18"/>
  <c r="F27" i="18" s="1"/>
  <c r="M16" i="18"/>
  <c r="N31" i="18" s="1"/>
  <c r="M17" i="18"/>
  <c r="I26" i="18" s="1"/>
  <c r="M6" i="18"/>
  <c r="Q24" i="18" s="1"/>
  <c r="M43" i="18" l="1"/>
  <c r="M41" i="18"/>
  <c r="R35" i="18"/>
  <c r="M35" i="18"/>
  <c r="J28" i="18"/>
  <c r="R43" i="18"/>
  <c r="H58" i="18"/>
  <c r="J56" i="18"/>
  <c r="E56" i="18"/>
  <c r="M30" i="18"/>
  <c r="R45" i="18"/>
  <c r="R39" i="18"/>
  <c r="M58" i="18"/>
  <c r="G54" i="18"/>
  <c r="H46" i="18"/>
  <c r="K33" i="18"/>
  <c r="F56" i="18"/>
  <c r="F52" i="18"/>
  <c r="R34" i="18"/>
  <c r="G33" i="18"/>
  <c r="H30" i="18"/>
  <c r="G58" i="18"/>
  <c r="I56" i="18"/>
  <c r="F54" i="18"/>
  <c r="E52" i="18"/>
  <c r="S49" i="18"/>
  <c r="K23" i="18"/>
  <c r="F32" i="18"/>
  <c r="N37" i="18"/>
  <c r="O46" i="18"/>
  <c r="O42" i="18"/>
  <c r="O38" i="18"/>
  <c r="O45" i="18"/>
  <c r="O41" i="18"/>
  <c r="O37" i="18"/>
  <c r="O44" i="18"/>
  <c r="O40" i="18"/>
  <c r="O36" i="18"/>
  <c r="O39" i="18"/>
  <c r="O35" i="18"/>
  <c r="O43" i="18"/>
  <c r="G35" i="18"/>
  <c r="M45" i="18"/>
  <c r="Q42" i="18"/>
  <c r="M34" i="18"/>
  <c r="P32" i="18"/>
  <c r="I31" i="18"/>
  <c r="K29" i="18"/>
  <c r="K58" i="18"/>
  <c r="F58" i="18"/>
  <c r="H56" i="18"/>
  <c r="C56" i="18"/>
  <c r="E54" i="18"/>
  <c r="C52" i="18"/>
  <c r="R49" i="18"/>
  <c r="C50" i="18"/>
  <c r="N26" i="18"/>
  <c r="O34" i="18"/>
  <c r="O30" i="18"/>
  <c r="O26" i="18"/>
  <c r="O33" i="18"/>
  <c r="O29" i="18"/>
  <c r="O25" i="18"/>
  <c r="O32" i="18"/>
  <c r="O28" i="18"/>
  <c r="O24" i="18"/>
  <c r="O23" i="18"/>
  <c r="O31" i="18"/>
  <c r="O27" i="18"/>
  <c r="D35" i="18"/>
  <c r="Q44" i="18"/>
  <c r="R41" i="18"/>
  <c r="G23" i="18"/>
  <c r="H34" i="18"/>
  <c r="J32" i="18"/>
  <c r="R30" i="18"/>
  <c r="G29" i="18"/>
  <c r="N58" i="18"/>
  <c r="O58" i="18"/>
  <c r="O54" i="18"/>
  <c r="O50" i="18"/>
  <c r="O57" i="18"/>
  <c r="O53" i="18"/>
  <c r="O49" i="18"/>
  <c r="O56" i="18"/>
  <c r="O52" i="18"/>
  <c r="O48" i="18"/>
  <c r="O55" i="18"/>
  <c r="O51" i="18"/>
  <c r="O47" i="18"/>
  <c r="J58" i="18"/>
  <c r="E58" i="18"/>
  <c r="G56" i="18"/>
  <c r="H54" i="18"/>
  <c r="C54" i="18"/>
  <c r="D50" i="18"/>
  <c r="P51" i="18"/>
  <c r="S57" i="18"/>
  <c r="N55" i="18"/>
  <c r="E47" i="18"/>
  <c r="N57" i="18"/>
  <c r="I53" i="18"/>
  <c r="G51" i="18"/>
  <c r="E49" i="18"/>
  <c r="L58" i="18"/>
  <c r="L57" i="18"/>
  <c r="L50" i="18"/>
  <c r="L49" i="18"/>
  <c r="L48" i="18"/>
  <c r="L47" i="18"/>
  <c r="L56" i="18"/>
  <c r="L55" i="18"/>
  <c r="L54" i="18"/>
  <c r="L53" i="18"/>
  <c r="L52" i="18"/>
  <c r="L51" i="18"/>
  <c r="M51" i="18"/>
  <c r="I51" i="18"/>
  <c r="F47" i="18"/>
  <c r="M57" i="18"/>
  <c r="J55" i="18"/>
  <c r="H53" i="18"/>
  <c r="F51" i="18"/>
  <c r="D49" i="18"/>
  <c r="S53" i="18"/>
  <c r="N51" i="18"/>
  <c r="H49" i="18"/>
  <c r="E44" i="18"/>
  <c r="E43" i="18"/>
  <c r="G47" i="18"/>
  <c r="K57" i="18"/>
  <c r="I55" i="18"/>
  <c r="G53" i="18"/>
  <c r="E51" i="18"/>
  <c r="C49" i="18"/>
  <c r="Q49" i="18"/>
  <c r="P53" i="18"/>
  <c r="M53" i="18"/>
  <c r="E31" i="18"/>
  <c r="P28" i="18"/>
  <c r="I47" i="18"/>
  <c r="I57" i="18"/>
  <c r="G55" i="18"/>
  <c r="E53" i="18"/>
  <c r="C51" i="18"/>
  <c r="R48" i="18"/>
  <c r="S51" i="18"/>
  <c r="Q51" i="18"/>
  <c r="Q53" i="18"/>
  <c r="Q55" i="18"/>
  <c r="Q57" i="18"/>
  <c r="H47" i="18"/>
  <c r="J47" i="18"/>
  <c r="H57" i="18"/>
  <c r="F55" i="18"/>
  <c r="D53" i="18"/>
  <c r="S50" i="18"/>
  <c r="Q48" i="18"/>
  <c r="M49" i="18"/>
  <c r="N53" i="18"/>
  <c r="H51" i="18"/>
  <c r="F28" i="18"/>
  <c r="K47" i="18"/>
  <c r="G57" i="18"/>
  <c r="E55" i="18"/>
  <c r="C53" i="18"/>
  <c r="R50" i="18"/>
  <c r="P48" i="18"/>
  <c r="D52" i="18"/>
  <c r="P49" i="18"/>
  <c r="C58" i="18"/>
  <c r="K49" i="18"/>
  <c r="F49" i="18"/>
  <c r="Q50" i="18"/>
  <c r="E40" i="18"/>
  <c r="I27" i="18"/>
  <c r="N47" i="18"/>
  <c r="E57" i="18"/>
  <c r="C55" i="18"/>
  <c r="R52" i="18"/>
  <c r="P50" i="18"/>
  <c r="M48" i="18"/>
  <c r="R53" i="18"/>
  <c r="E46" i="18"/>
  <c r="I49" i="18"/>
  <c r="M55" i="18"/>
  <c r="E41" i="18"/>
  <c r="N48" i="18"/>
  <c r="E27" i="18"/>
  <c r="P47" i="18"/>
  <c r="D57" i="18"/>
  <c r="S54" i="18"/>
  <c r="Q52" i="18"/>
  <c r="N50" i="18"/>
  <c r="K48" i="18"/>
  <c r="N49" i="18"/>
  <c r="K51" i="18"/>
  <c r="G49" i="18"/>
  <c r="D55" i="18"/>
  <c r="M39" i="18"/>
  <c r="R26" i="18"/>
  <c r="Q47" i="18"/>
  <c r="C57" i="18"/>
  <c r="R54" i="18"/>
  <c r="P52" i="18"/>
  <c r="M50" i="18"/>
  <c r="J48" i="18"/>
  <c r="D54" i="18"/>
  <c r="D58" i="18"/>
  <c r="P55" i="18"/>
  <c r="D47" i="18"/>
  <c r="J57" i="18"/>
  <c r="E42" i="18"/>
  <c r="M47" i="18"/>
  <c r="Q54" i="18"/>
  <c r="Q38" i="18"/>
  <c r="H26" i="18"/>
  <c r="S47" i="18"/>
  <c r="R56" i="18"/>
  <c r="P54" i="18"/>
  <c r="M52" i="18"/>
  <c r="J50" i="18"/>
  <c r="H48" i="18"/>
  <c r="D56" i="18"/>
  <c r="K53" i="18"/>
  <c r="F53" i="18"/>
  <c r="K50" i="18"/>
  <c r="E38" i="18"/>
  <c r="S58" i="18"/>
  <c r="Q56" i="18"/>
  <c r="N54" i="18"/>
  <c r="K52" i="18"/>
  <c r="I50" i="18"/>
  <c r="G48" i="18"/>
  <c r="J49" i="18"/>
  <c r="C47" i="18"/>
  <c r="D51" i="18"/>
  <c r="N27" i="18"/>
  <c r="S56" i="18"/>
  <c r="R37" i="18"/>
  <c r="G25" i="18"/>
  <c r="R58" i="18"/>
  <c r="P56" i="18"/>
  <c r="M54" i="18"/>
  <c r="J52" i="18"/>
  <c r="H50" i="18"/>
  <c r="F48" i="18"/>
  <c r="R55" i="18"/>
  <c r="J51" i="18"/>
  <c r="H55" i="18"/>
  <c r="F57" i="18"/>
  <c r="E39" i="18"/>
  <c r="N52" i="18"/>
  <c r="E37" i="18"/>
  <c r="P24" i="18"/>
  <c r="Q58" i="18"/>
  <c r="N56" i="18"/>
  <c r="K54" i="18"/>
  <c r="I52" i="18"/>
  <c r="G50" i="18"/>
  <c r="E48" i="18"/>
  <c r="E45" i="18"/>
  <c r="P57" i="18"/>
  <c r="S48" i="18"/>
  <c r="K24" i="18"/>
  <c r="L26" i="18"/>
  <c r="L33" i="18"/>
  <c r="L27" i="18"/>
  <c r="L25" i="18"/>
  <c r="L24" i="18"/>
  <c r="L34" i="18"/>
  <c r="L29" i="18"/>
  <c r="L23" i="18"/>
  <c r="L30" i="18"/>
  <c r="L28" i="18"/>
  <c r="L32" i="18"/>
  <c r="L31" i="18"/>
  <c r="I48" i="18"/>
  <c r="K36" i="18"/>
  <c r="L42" i="18"/>
  <c r="L46" i="18"/>
  <c r="L43" i="18"/>
  <c r="L41" i="18"/>
  <c r="L39" i="18"/>
  <c r="L40" i="18"/>
  <c r="L37" i="18"/>
  <c r="L45" i="18"/>
  <c r="L38" i="18"/>
  <c r="L35" i="18"/>
  <c r="L36" i="18"/>
  <c r="L44" i="18"/>
  <c r="E36" i="18"/>
  <c r="J24" i="18"/>
  <c r="M56" i="18"/>
  <c r="J54" i="18"/>
  <c r="H52" i="18"/>
  <c r="I58" i="18"/>
  <c r="R51" i="18"/>
  <c r="S55" i="18"/>
  <c r="R57" i="18"/>
  <c r="M26" i="18"/>
  <c r="F24" i="18"/>
  <c r="K56" i="18"/>
  <c r="Q25" i="18"/>
  <c r="C25" i="18"/>
  <c r="S35" i="18"/>
  <c r="F46" i="18"/>
  <c r="Q45" i="18"/>
  <c r="D45" i="18"/>
  <c r="D44" i="18"/>
  <c r="H43" i="18"/>
  <c r="F42" i="18"/>
  <c r="Q41" i="18"/>
  <c r="D41" i="18"/>
  <c r="D40" i="18"/>
  <c r="H39" i="18"/>
  <c r="F38" i="18"/>
  <c r="Q37" i="18"/>
  <c r="D37" i="18"/>
  <c r="D36" i="18"/>
  <c r="D23" i="18"/>
  <c r="H23" i="18"/>
  <c r="M23" i="18"/>
  <c r="R23" i="18"/>
  <c r="Q34" i="18"/>
  <c r="K34" i="18"/>
  <c r="G34" i="18"/>
  <c r="C34" i="18"/>
  <c r="P33" i="18"/>
  <c r="J33" i="18"/>
  <c r="F33" i="18"/>
  <c r="S32" i="18"/>
  <c r="N32" i="18"/>
  <c r="I32" i="18"/>
  <c r="E32" i="18"/>
  <c r="R31" i="18"/>
  <c r="M31" i="18"/>
  <c r="H31" i="18"/>
  <c r="D31" i="18"/>
  <c r="Q30" i="18"/>
  <c r="K30" i="18"/>
  <c r="G30" i="18"/>
  <c r="C30" i="18"/>
  <c r="P29" i="18"/>
  <c r="J29" i="18"/>
  <c r="F29" i="18"/>
  <c r="S28" i="18"/>
  <c r="N28" i="18"/>
  <c r="I28" i="18"/>
  <c r="E28" i="18"/>
  <c r="R27" i="18"/>
  <c r="M27" i="18"/>
  <c r="H27" i="18"/>
  <c r="D27" i="18"/>
  <c r="Q26" i="18"/>
  <c r="K26" i="18"/>
  <c r="G26" i="18"/>
  <c r="C26" i="18"/>
  <c r="P25" i="18"/>
  <c r="J25" i="18"/>
  <c r="F25" i="18"/>
  <c r="S24" i="18"/>
  <c r="N24" i="18"/>
  <c r="I24" i="18"/>
  <c r="E24" i="18"/>
  <c r="Q23" i="18"/>
  <c r="D34" i="18"/>
  <c r="C33" i="18"/>
  <c r="D30" i="18"/>
  <c r="D26" i="18"/>
  <c r="Q40" i="18"/>
  <c r="M37" i="18"/>
  <c r="Q36" i="18"/>
  <c r="E23" i="18"/>
  <c r="I23" i="18"/>
  <c r="N23" i="18"/>
  <c r="S23" i="18"/>
  <c r="P34" i="18"/>
  <c r="J34" i="18"/>
  <c r="F34" i="18"/>
  <c r="S33" i="18"/>
  <c r="N33" i="18"/>
  <c r="I33" i="18"/>
  <c r="E33" i="18"/>
  <c r="R32" i="18"/>
  <c r="M32" i="18"/>
  <c r="H32" i="18"/>
  <c r="D32" i="18"/>
  <c r="Q31" i="18"/>
  <c r="K31" i="18"/>
  <c r="G31" i="18"/>
  <c r="C31" i="18"/>
  <c r="P30" i="18"/>
  <c r="J30" i="18"/>
  <c r="F30" i="18"/>
  <c r="S29" i="18"/>
  <c r="N29" i="18"/>
  <c r="I29" i="18"/>
  <c r="E29" i="18"/>
  <c r="R28" i="18"/>
  <c r="M28" i="18"/>
  <c r="H28" i="18"/>
  <c r="D28" i="18"/>
  <c r="Q27" i="18"/>
  <c r="K27" i="18"/>
  <c r="G27" i="18"/>
  <c r="C27" i="18"/>
  <c r="P26" i="18"/>
  <c r="J26" i="18"/>
  <c r="F26" i="18"/>
  <c r="S25" i="18"/>
  <c r="N25" i="18"/>
  <c r="I25" i="18"/>
  <c r="E25" i="18"/>
  <c r="R24" i="18"/>
  <c r="M24" i="18"/>
  <c r="H24" i="18"/>
  <c r="D24" i="18"/>
  <c r="C23" i="18"/>
  <c r="Q33" i="18"/>
  <c r="S31" i="18"/>
  <c r="Q29" i="18"/>
  <c r="C29" i="18"/>
  <c r="S27" i="18"/>
  <c r="Q35" i="18"/>
  <c r="H35" i="18"/>
  <c r="Q46" i="18"/>
  <c r="D46" i="18"/>
  <c r="H45" i="18"/>
  <c r="F44" i="18"/>
  <c r="Q43" i="18"/>
  <c r="D43" i="18"/>
  <c r="D42" i="18"/>
  <c r="H41" i="18"/>
  <c r="F40" i="18"/>
  <c r="Q39" i="18"/>
  <c r="D39" i="18"/>
  <c r="H37" i="18"/>
  <c r="F36" i="18"/>
  <c r="C35" i="18"/>
  <c r="F23" i="18"/>
  <c r="J23" i="18"/>
  <c r="P23" i="18"/>
  <c r="S34" i="18"/>
  <c r="N34" i="18"/>
  <c r="I34" i="18"/>
  <c r="E34" i="18"/>
  <c r="R33" i="18"/>
  <c r="M33" i="18"/>
  <c r="H33" i="18"/>
  <c r="D33" i="18"/>
  <c r="Q32" i="18"/>
  <c r="K32" i="18"/>
  <c r="G32" i="18"/>
  <c r="C32" i="18"/>
  <c r="P31" i="18"/>
  <c r="J31" i="18"/>
  <c r="F31" i="18"/>
  <c r="S30" i="18"/>
  <c r="N30" i="18"/>
  <c r="I30" i="18"/>
  <c r="E30" i="18"/>
  <c r="R29" i="18"/>
  <c r="M29" i="18"/>
  <c r="H29" i="18"/>
  <c r="D29" i="18"/>
  <c r="Q28" i="18"/>
  <c r="K28" i="18"/>
  <c r="G28" i="18"/>
  <c r="C28" i="18"/>
  <c r="R25" i="18"/>
  <c r="H25" i="18"/>
  <c r="D25" i="18"/>
  <c r="J42" i="18"/>
  <c r="J40" i="18"/>
  <c r="P38" i="18"/>
  <c r="P36" i="18"/>
  <c r="K35" i="18"/>
  <c r="S46" i="18"/>
  <c r="N46" i="18"/>
  <c r="I46" i="18"/>
  <c r="K45" i="18"/>
  <c r="G45" i="18"/>
  <c r="S44" i="18"/>
  <c r="N44" i="18"/>
  <c r="I44" i="18"/>
  <c r="K43" i="18"/>
  <c r="G43" i="18"/>
  <c r="S42" i="18"/>
  <c r="N42" i="18"/>
  <c r="I42" i="18"/>
  <c r="K41" i="18"/>
  <c r="G41" i="18"/>
  <c r="S40" i="18"/>
  <c r="N40" i="18"/>
  <c r="I40" i="18"/>
  <c r="K39" i="18"/>
  <c r="G39" i="18"/>
  <c r="S38" i="18"/>
  <c r="N38" i="18"/>
  <c r="I38" i="18"/>
  <c r="K37" i="18"/>
  <c r="G37" i="18"/>
  <c r="S36" i="18"/>
  <c r="N36" i="18"/>
  <c r="I36" i="18"/>
  <c r="J46" i="18"/>
  <c r="P44" i="18"/>
  <c r="P42" i="18"/>
  <c r="J38" i="18"/>
  <c r="J36" i="18"/>
  <c r="P35" i="18"/>
  <c r="J35" i="18"/>
  <c r="F35" i="18"/>
  <c r="R46" i="18"/>
  <c r="M46" i="18"/>
  <c r="P45" i="18"/>
  <c r="J45" i="18"/>
  <c r="F45" i="18"/>
  <c r="R44" i="18"/>
  <c r="M44" i="18"/>
  <c r="H44" i="18"/>
  <c r="P43" i="18"/>
  <c r="J43" i="18"/>
  <c r="F43" i="18"/>
  <c r="R42" i="18"/>
  <c r="M42" i="18"/>
  <c r="H42" i="18"/>
  <c r="P41" i="18"/>
  <c r="J41" i="18"/>
  <c r="F41" i="18"/>
  <c r="R40" i="18"/>
  <c r="M40" i="18"/>
  <c r="H40" i="18"/>
  <c r="P39" i="18"/>
  <c r="J39" i="18"/>
  <c r="F39" i="18"/>
  <c r="R38" i="18"/>
  <c r="M38" i="18"/>
  <c r="H38" i="18"/>
  <c r="P37" i="18"/>
  <c r="J37" i="18"/>
  <c r="R36" i="18"/>
  <c r="H36" i="18"/>
  <c r="P46" i="18"/>
  <c r="N35" i="18"/>
  <c r="I35" i="18"/>
  <c r="K46" i="18"/>
  <c r="G46" i="18"/>
  <c r="S45" i="18"/>
  <c r="N45" i="18"/>
  <c r="I45" i="18"/>
  <c r="K44" i="18"/>
  <c r="G44" i="18"/>
  <c r="S43" i="18"/>
  <c r="N43" i="18"/>
  <c r="I43" i="18"/>
  <c r="K42" i="18"/>
  <c r="G42" i="18"/>
  <c r="S41" i="18"/>
  <c r="N41" i="18"/>
  <c r="I41" i="18"/>
  <c r="K40" i="18"/>
  <c r="G40" i="18"/>
  <c r="S39" i="18"/>
  <c r="N39" i="18"/>
  <c r="I39" i="18"/>
  <c r="K38" i="18"/>
  <c r="G38" i="18"/>
  <c r="C38" i="18"/>
  <c r="C43" i="18"/>
  <c r="C39" i="18"/>
  <c r="C45" i="18"/>
  <c r="C37" i="18"/>
  <c r="C46" i="18"/>
  <c r="C42" i="18"/>
  <c r="C44" i="18"/>
  <c r="C40" i="18"/>
  <c r="C36" i="18"/>
  <c r="J41" i="16" l="1"/>
  <c r="J53" i="16" s="1"/>
  <c r="Z140" i="28" l="1"/>
  <c r="Y140" i="28"/>
  <c r="X140" i="28"/>
  <c r="W140" i="28"/>
  <c r="V140" i="28"/>
  <c r="O140" i="28"/>
  <c r="N140" i="28"/>
  <c r="M140" i="28"/>
  <c r="L140" i="28"/>
  <c r="K140" i="28"/>
  <c r="G140" i="28"/>
  <c r="F140" i="28"/>
  <c r="E140" i="28"/>
  <c r="D140" i="28"/>
  <c r="C140" i="28"/>
  <c r="T143" i="28"/>
  <c r="P143" i="28" s="1"/>
  <c r="T145" i="28"/>
  <c r="Q145" i="28" s="1"/>
  <c r="T147" i="28"/>
  <c r="Q147" i="28" s="1"/>
  <c r="J145" i="28"/>
  <c r="J143" i="28"/>
  <c r="J147" i="28"/>
  <c r="AE101" i="28"/>
  <c r="Y101" i="28"/>
  <c r="O101" i="28"/>
  <c r="L101" i="28"/>
  <c r="G101" i="28"/>
  <c r="E101" i="28"/>
  <c r="D101" i="28"/>
  <c r="AF100" i="28"/>
  <c r="AE100" i="28"/>
  <c r="AB100" i="28"/>
  <c r="Y100" i="28"/>
  <c r="O100" i="28"/>
  <c r="L100" i="28"/>
  <c r="G100" i="28"/>
  <c r="E100" i="28"/>
  <c r="D100" i="28"/>
  <c r="AF99" i="28"/>
  <c r="AE99" i="28"/>
  <c r="J99" i="28" s="1"/>
  <c r="AD99" i="28"/>
  <c r="AC99" i="28"/>
  <c r="I99" i="28" s="1"/>
  <c r="AB99" i="28"/>
  <c r="AA99" i="28"/>
  <c r="Z99" i="28"/>
  <c r="Y99" i="28"/>
  <c r="X99" i="28"/>
  <c r="W99" i="28"/>
  <c r="O99" i="28"/>
  <c r="M99" i="28"/>
  <c r="L99" i="28"/>
  <c r="K99" i="28"/>
  <c r="G99" i="28"/>
  <c r="F99" i="28"/>
  <c r="E99" i="28"/>
  <c r="D99" i="28"/>
  <c r="AF98" i="28"/>
  <c r="AE98" i="28"/>
  <c r="AD98" i="28"/>
  <c r="AC98" i="28"/>
  <c r="I98" i="28" s="1"/>
  <c r="AB98" i="28"/>
  <c r="AA98" i="28"/>
  <c r="H98" i="28" s="1"/>
  <c r="G98" i="28"/>
  <c r="F98" i="28"/>
  <c r="C98" i="28"/>
  <c r="AF97" i="28"/>
  <c r="AE97" i="28"/>
  <c r="AD97" i="28"/>
  <c r="AC97" i="28"/>
  <c r="I97" i="28" s="1"/>
  <c r="AB97" i="28"/>
  <c r="AA97" i="28"/>
  <c r="Z97" i="28"/>
  <c r="Y97" i="28"/>
  <c r="X97" i="28"/>
  <c r="W97" i="28"/>
  <c r="V97" i="28"/>
  <c r="O97" i="28"/>
  <c r="N97" i="28"/>
  <c r="M97" i="28"/>
  <c r="L97" i="28"/>
  <c r="K97" i="28"/>
  <c r="G97" i="28"/>
  <c r="F97" i="28"/>
  <c r="E97" i="28"/>
  <c r="D97" i="28"/>
  <c r="C97" i="28"/>
  <c r="AF96" i="28"/>
  <c r="AE96" i="28"/>
  <c r="AD96" i="28"/>
  <c r="AC96" i="28"/>
  <c r="I96" i="28" s="1"/>
  <c r="AB96" i="28"/>
  <c r="AA96" i="28"/>
  <c r="H96" i="28" s="1"/>
  <c r="Z96" i="28"/>
  <c r="Y96" i="28"/>
  <c r="X96" i="28"/>
  <c r="W96" i="28"/>
  <c r="V96" i="28"/>
  <c r="O96" i="28"/>
  <c r="N96" i="28"/>
  <c r="M96" i="28"/>
  <c r="L96" i="28"/>
  <c r="K96" i="28"/>
  <c r="G96" i="28"/>
  <c r="F96" i="28"/>
  <c r="E96" i="28"/>
  <c r="D96" i="28"/>
  <c r="C96" i="28"/>
  <c r="O95" i="28"/>
  <c r="L95" i="28"/>
  <c r="G95" i="28"/>
  <c r="E95" i="28"/>
  <c r="D95" i="28"/>
  <c r="AF94" i="28"/>
  <c r="AE94" i="28"/>
  <c r="AD94" i="28"/>
  <c r="AC94" i="28"/>
  <c r="I94" i="28" s="1"/>
  <c r="AB94" i="28"/>
  <c r="AA94" i="28"/>
  <c r="H94" i="28" s="1"/>
  <c r="G94" i="28"/>
  <c r="F94" i="28"/>
  <c r="C94" i="28"/>
  <c r="AF93" i="28"/>
  <c r="AE93" i="28"/>
  <c r="AD93" i="28"/>
  <c r="J93" i="28" s="1"/>
  <c r="AC93" i="28"/>
  <c r="I93" i="28" s="1"/>
  <c r="AB93" i="28"/>
  <c r="AA93" i="28"/>
  <c r="Z93" i="28"/>
  <c r="Y93" i="28"/>
  <c r="X93" i="28"/>
  <c r="W93" i="28"/>
  <c r="V93" i="28"/>
  <c r="O93" i="28"/>
  <c r="N93" i="28"/>
  <c r="M93" i="28"/>
  <c r="L93" i="28"/>
  <c r="K93" i="28"/>
  <c r="G93" i="28"/>
  <c r="F93" i="28"/>
  <c r="E93" i="28"/>
  <c r="D93" i="28"/>
  <c r="C93" i="28"/>
  <c r="AF92" i="28"/>
  <c r="AE92" i="28"/>
  <c r="AD92" i="28"/>
  <c r="AC92" i="28"/>
  <c r="I92" i="28" s="1"/>
  <c r="AB92" i="28"/>
  <c r="AA92" i="28"/>
  <c r="H92" i="28" s="1"/>
  <c r="Z92" i="28"/>
  <c r="Y92" i="28"/>
  <c r="X92" i="28"/>
  <c r="W92" i="28"/>
  <c r="V92" i="28"/>
  <c r="O92" i="28"/>
  <c r="N92" i="28"/>
  <c r="M92" i="28"/>
  <c r="L92" i="28"/>
  <c r="K92" i="28"/>
  <c r="G92" i="28"/>
  <c r="F92" i="28"/>
  <c r="E92" i="28"/>
  <c r="D92" i="28"/>
  <c r="C92" i="28"/>
  <c r="AF91" i="28"/>
  <c r="AE91" i="28"/>
  <c r="AD91" i="28"/>
  <c r="J91" i="28" s="1"/>
  <c r="AC91" i="28"/>
  <c r="I91" i="28" s="1"/>
  <c r="AB91" i="28"/>
  <c r="AA91" i="28"/>
  <c r="Z91" i="28"/>
  <c r="Y91" i="28"/>
  <c r="X91" i="28"/>
  <c r="W91" i="28"/>
  <c r="V91" i="28"/>
  <c r="O91" i="28"/>
  <c r="N91" i="28"/>
  <c r="M91" i="28"/>
  <c r="L91" i="28"/>
  <c r="K91" i="28"/>
  <c r="G91" i="28"/>
  <c r="F91" i="28"/>
  <c r="E91" i="28"/>
  <c r="D91" i="28"/>
  <c r="C91" i="28"/>
  <c r="AF90" i="28"/>
  <c r="AE90" i="28"/>
  <c r="AD90" i="28"/>
  <c r="AC90" i="28"/>
  <c r="I90" i="28" s="1"/>
  <c r="AB90" i="28"/>
  <c r="AA90" i="28"/>
  <c r="H90" i="28" s="1"/>
  <c r="Z90" i="28"/>
  <c r="Y90" i="28"/>
  <c r="X90" i="28"/>
  <c r="W90" i="28"/>
  <c r="V90" i="28"/>
  <c r="O90" i="28"/>
  <c r="N90" i="28"/>
  <c r="M90" i="28"/>
  <c r="L90" i="28"/>
  <c r="K90" i="28"/>
  <c r="G90" i="28"/>
  <c r="F90" i="28"/>
  <c r="E90" i="28"/>
  <c r="D90" i="28"/>
  <c r="C90" i="28"/>
  <c r="AF89" i="28"/>
  <c r="AE89" i="28"/>
  <c r="AD89" i="28"/>
  <c r="AC89" i="28"/>
  <c r="I89" i="28" s="1"/>
  <c r="AB89" i="28"/>
  <c r="AA89" i="28"/>
  <c r="Z89" i="28"/>
  <c r="Y89" i="28"/>
  <c r="X89" i="28"/>
  <c r="W89" i="28"/>
  <c r="O89" i="28"/>
  <c r="M89" i="28"/>
  <c r="L89" i="28"/>
  <c r="K89" i="28"/>
  <c r="G89" i="28"/>
  <c r="F89" i="28"/>
  <c r="E89" i="28"/>
  <c r="D89" i="28"/>
  <c r="AF88" i="28"/>
  <c r="AE88" i="28"/>
  <c r="AD88" i="28"/>
  <c r="J88" i="28" s="1"/>
  <c r="AC88" i="28"/>
  <c r="I88" i="28" s="1"/>
  <c r="AB88" i="28"/>
  <c r="AA88" i="28"/>
  <c r="Z88" i="28"/>
  <c r="Y88" i="28"/>
  <c r="X88" i="28"/>
  <c r="W88" i="28"/>
  <c r="V88" i="28"/>
  <c r="O88" i="28"/>
  <c r="N88" i="28"/>
  <c r="M88" i="28"/>
  <c r="L88" i="28"/>
  <c r="K88" i="28"/>
  <c r="G88" i="28"/>
  <c r="F88" i="28"/>
  <c r="E88" i="28"/>
  <c r="D88" i="28"/>
  <c r="C88" i="28"/>
  <c r="AF87" i="28"/>
  <c r="AE87" i="28"/>
  <c r="AD87" i="28"/>
  <c r="AC87" i="28"/>
  <c r="I87" i="28" s="1"/>
  <c r="AB87" i="28"/>
  <c r="AA87" i="28"/>
  <c r="H87" i="28" s="1"/>
  <c r="Z87" i="28"/>
  <c r="Y87" i="28"/>
  <c r="X87" i="28"/>
  <c r="W87" i="28"/>
  <c r="V87" i="28"/>
  <c r="O87" i="28"/>
  <c r="N87" i="28"/>
  <c r="M87" i="28"/>
  <c r="L87" i="28"/>
  <c r="K87" i="28"/>
  <c r="G87" i="28"/>
  <c r="F87" i="28"/>
  <c r="E87" i="28"/>
  <c r="D87" i="28"/>
  <c r="C87" i="28"/>
  <c r="AF86" i="28"/>
  <c r="AE86" i="28"/>
  <c r="AD86" i="28"/>
  <c r="AC86" i="28"/>
  <c r="I86" i="28" s="1"/>
  <c r="AB86" i="28"/>
  <c r="AA86" i="28"/>
  <c r="Z86" i="28"/>
  <c r="Y86" i="28"/>
  <c r="X86" i="28"/>
  <c r="W86" i="28"/>
  <c r="V86" i="28"/>
  <c r="O86" i="28"/>
  <c r="N86" i="28"/>
  <c r="M86" i="28"/>
  <c r="L86" i="28"/>
  <c r="K86" i="28"/>
  <c r="G86" i="28"/>
  <c r="F86" i="28"/>
  <c r="E86" i="28"/>
  <c r="D86" i="28"/>
  <c r="C86" i="28"/>
  <c r="AF85" i="28"/>
  <c r="AE85" i="28"/>
  <c r="AD85" i="28"/>
  <c r="AC85" i="28"/>
  <c r="I85" i="28" s="1"/>
  <c r="AB85" i="28"/>
  <c r="AA85" i="28"/>
  <c r="H85" i="28" s="1"/>
  <c r="Z85" i="28"/>
  <c r="Y85" i="28"/>
  <c r="X85" i="28"/>
  <c r="W85" i="28"/>
  <c r="V85" i="28"/>
  <c r="O85" i="28"/>
  <c r="N85" i="28"/>
  <c r="M85" i="28"/>
  <c r="L85" i="28"/>
  <c r="K85" i="28"/>
  <c r="G85" i="28"/>
  <c r="F85" i="28"/>
  <c r="E85" i="28"/>
  <c r="D85" i="28"/>
  <c r="C85" i="28"/>
  <c r="AF84" i="28"/>
  <c r="AE84" i="28"/>
  <c r="AD84" i="28"/>
  <c r="AC84" i="28"/>
  <c r="I84" i="28" s="1"/>
  <c r="AB84" i="28"/>
  <c r="AA84" i="28"/>
  <c r="Z84" i="28"/>
  <c r="Y84" i="28"/>
  <c r="X84" i="28"/>
  <c r="W84" i="28"/>
  <c r="V84" i="28"/>
  <c r="O84" i="28"/>
  <c r="N84" i="28"/>
  <c r="M84" i="28"/>
  <c r="L84" i="28"/>
  <c r="K84" i="28"/>
  <c r="G84" i="28"/>
  <c r="F84" i="28"/>
  <c r="E84" i="28"/>
  <c r="D84" i="28"/>
  <c r="C84" i="28"/>
  <c r="AF83" i="28"/>
  <c r="AE83" i="28"/>
  <c r="AD83" i="28"/>
  <c r="AC83" i="28"/>
  <c r="I83" i="28" s="1"/>
  <c r="AB83" i="28"/>
  <c r="AA83" i="28"/>
  <c r="H83" i="28" s="1"/>
  <c r="Z83" i="28"/>
  <c r="Y83" i="28"/>
  <c r="X83" i="28"/>
  <c r="W83" i="28"/>
  <c r="V83" i="28"/>
  <c r="O83" i="28"/>
  <c r="N83" i="28"/>
  <c r="M83" i="28"/>
  <c r="L83" i="28"/>
  <c r="K83" i="28"/>
  <c r="G83" i="28"/>
  <c r="F83" i="28"/>
  <c r="E83" i="28"/>
  <c r="D83" i="28"/>
  <c r="C83" i="28"/>
  <c r="D74" i="28"/>
  <c r="D94" i="28" s="1"/>
  <c r="E74" i="28"/>
  <c r="E94" i="28" s="1"/>
  <c r="H74" i="28"/>
  <c r="Y98" i="28" s="1"/>
  <c r="J74" i="28"/>
  <c r="Z94" i="28" s="1"/>
  <c r="K74" i="28"/>
  <c r="K94" i="28" s="1"/>
  <c r="Q74" i="28"/>
  <c r="M94" i="28" s="1"/>
  <c r="R74" i="28"/>
  <c r="N94" i="28" s="1"/>
  <c r="S74" i="28"/>
  <c r="O98" i="28" s="1"/>
  <c r="T74" i="28"/>
  <c r="X94" i="28" s="1"/>
  <c r="V74" i="28"/>
  <c r="L94" i="28" s="1"/>
  <c r="X74" i="28"/>
  <c r="W98" i="28" s="1"/>
  <c r="C75" i="28"/>
  <c r="C99" i="28" s="1"/>
  <c r="R75" i="28"/>
  <c r="N89" i="28" s="1"/>
  <c r="W75" i="28"/>
  <c r="V89" i="28" s="1"/>
  <c r="C76" i="28"/>
  <c r="F76" i="28"/>
  <c r="J76" i="28"/>
  <c r="Z100" i="28" s="1"/>
  <c r="K76" i="28"/>
  <c r="K100" i="28" s="1"/>
  <c r="L76" i="28"/>
  <c r="AA100" i="28" s="1"/>
  <c r="M76" i="28"/>
  <c r="N76" i="28"/>
  <c r="AD100" i="28" s="1"/>
  <c r="Q76" i="28"/>
  <c r="M100" i="28" s="1"/>
  <c r="R76" i="28"/>
  <c r="N100" i="28" s="1"/>
  <c r="T76" i="28"/>
  <c r="X100" i="28" s="1"/>
  <c r="U76" i="28"/>
  <c r="AC100" i="28" s="1"/>
  <c r="I100" i="28" s="1"/>
  <c r="W76" i="28"/>
  <c r="V100" i="28" s="1"/>
  <c r="X76" i="28"/>
  <c r="W100" i="28" s="1"/>
  <c r="C77" i="28"/>
  <c r="C101" i="28" s="1"/>
  <c r="F77" i="28"/>
  <c r="F101" i="28" s="1"/>
  <c r="J77" i="28"/>
  <c r="Z101" i="28" s="1"/>
  <c r="K77" i="28"/>
  <c r="K101" i="28" s="1"/>
  <c r="L77" i="28"/>
  <c r="AA101" i="28" s="1"/>
  <c r="M77" i="28"/>
  <c r="AB101" i="28" s="1"/>
  <c r="N77" i="28"/>
  <c r="AD101" i="28" s="1"/>
  <c r="P77" i="28"/>
  <c r="AF101" i="28" s="1"/>
  <c r="Q77" i="28"/>
  <c r="M101" i="28" s="1"/>
  <c r="R77" i="28"/>
  <c r="N101" i="28" s="1"/>
  <c r="T77" i="28"/>
  <c r="X101" i="28" s="1"/>
  <c r="U77" i="28"/>
  <c r="AC101" i="28" s="1"/>
  <c r="I101" i="28" s="1"/>
  <c r="W77" i="28"/>
  <c r="V101" i="28" s="1"/>
  <c r="X77" i="28"/>
  <c r="W101" i="28" s="1"/>
  <c r="F40" i="28"/>
  <c r="C35" i="28"/>
  <c r="AF35" i="28"/>
  <c r="AE35" i="28"/>
  <c r="AD35" i="28"/>
  <c r="AC35" i="28"/>
  <c r="I35" i="28" s="1"/>
  <c r="AP35" i="28" s="1"/>
  <c r="AB35" i="28"/>
  <c r="AA35" i="28"/>
  <c r="H35" i="28" s="1"/>
  <c r="Z35" i="28"/>
  <c r="Y35" i="28"/>
  <c r="X35" i="28"/>
  <c r="W35" i="28"/>
  <c r="V35" i="28"/>
  <c r="O35" i="28"/>
  <c r="N35" i="28"/>
  <c r="M35" i="28"/>
  <c r="L35" i="28"/>
  <c r="K35" i="28"/>
  <c r="E35" i="28"/>
  <c r="F35" i="28"/>
  <c r="G35" i="28"/>
  <c r="D35" i="28"/>
  <c r="AF34" i="28"/>
  <c r="AE34" i="28"/>
  <c r="AD34" i="28"/>
  <c r="AC34" i="28"/>
  <c r="I34" i="28" s="1"/>
  <c r="AP34" i="28" s="1"/>
  <c r="AB34" i="28"/>
  <c r="AA34" i="28"/>
  <c r="H34" i="28" s="1"/>
  <c r="Z34" i="28"/>
  <c r="Y34" i="28"/>
  <c r="X34" i="28"/>
  <c r="W34" i="28"/>
  <c r="V34" i="28"/>
  <c r="O34" i="28"/>
  <c r="N34" i="28"/>
  <c r="M34" i="28"/>
  <c r="L34" i="28"/>
  <c r="K34" i="28"/>
  <c r="G34" i="28"/>
  <c r="F34" i="28"/>
  <c r="C33" i="28"/>
  <c r="E34" i="28"/>
  <c r="D34" i="28"/>
  <c r="C34" i="28"/>
  <c r="AF39" i="28"/>
  <c r="AE39" i="28"/>
  <c r="AD39" i="28"/>
  <c r="AC39" i="28"/>
  <c r="I39" i="28" s="1"/>
  <c r="AP39" i="28" s="1"/>
  <c r="AB39" i="28"/>
  <c r="AA39" i="28"/>
  <c r="H39" i="28" s="1"/>
  <c r="Z39" i="28"/>
  <c r="Y39" i="28"/>
  <c r="X39" i="28"/>
  <c r="W39" i="28"/>
  <c r="O39" i="28"/>
  <c r="N39" i="28"/>
  <c r="M39" i="28"/>
  <c r="L39" i="28"/>
  <c r="K39" i="28"/>
  <c r="G39" i="28"/>
  <c r="F39" i="28"/>
  <c r="E39" i="28"/>
  <c r="D39" i="28"/>
  <c r="C39" i="28"/>
  <c r="R22" i="28"/>
  <c r="N46" i="28" s="1"/>
  <c r="R21" i="28"/>
  <c r="N45" i="28" s="1"/>
  <c r="AU45" i="28" s="1"/>
  <c r="M40" i="28"/>
  <c r="Z41" i="28"/>
  <c r="Y38" i="28"/>
  <c r="L40" i="28"/>
  <c r="K40" i="28"/>
  <c r="G40" i="28"/>
  <c r="D40" i="28"/>
  <c r="E40" i="28"/>
  <c r="C40" i="28"/>
  <c r="AF46" i="28"/>
  <c r="AE46" i="28"/>
  <c r="AD46" i="28"/>
  <c r="AC46" i="28"/>
  <c r="I46" i="28" s="1"/>
  <c r="AB46" i="28"/>
  <c r="AA46" i="28"/>
  <c r="H46" i="28" s="1"/>
  <c r="Z46" i="28"/>
  <c r="Y46" i="28"/>
  <c r="X46" i="28"/>
  <c r="W46" i="28"/>
  <c r="V46" i="28"/>
  <c r="O46" i="28"/>
  <c r="AV147" i="28" s="1"/>
  <c r="M46" i="28"/>
  <c r="L46" i="28"/>
  <c r="AS147" i="28" s="1"/>
  <c r="K46" i="28"/>
  <c r="G46" i="28"/>
  <c r="AN46" i="28" s="1"/>
  <c r="F46" i="28"/>
  <c r="AM46" i="28" s="1"/>
  <c r="E46" i="28"/>
  <c r="AL46" i="28" s="1"/>
  <c r="D46" i="28"/>
  <c r="AK46" i="28" s="1"/>
  <c r="C46" i="28"/>
  <c r="AJ46" i="28" s="1"/>
  <c r="AF45" i="28"/>
  <c r="AF40" i="28" s="1"/>
  <c r="AE45" i="28"/>
  <c r="AD45" i="28"/>
  <c r="AD40" i="28" s="1"/>
  <c r="AC45" i="28"/>
  <c r="AB45" i="28"/>
  <c r="AB40" i="28" s="1"/>
  <c r="AA45" i="28"/>
  <c r="Z45" i="28"/>
  <c r="Y45" i="28"/>
  <c r="X45" i="28"/>
  <c r="W45" i="28"/>
  <c r="BB45" i="28" s="1"/>
  <c r="V45" i="28"/>
  <c r="V40" i="28" s="1"/>
  <c r="O45" i="28"/>
  <c r="AV45" i="28" s="1"/>
  <c r="M45" i="28"/>
  <c r="AT45" i="28" s="1"/>
  <c r="L45" i="28"/>
  <c r="AS45" i="28" s="1"/>
  <c r="K45" i="28"/>
  <c r="AR45" i="28" s="1"/>
  <c r="G45" i="28"/>
  <c r="F45" i="28"/>
  <c r="AM45" i="28" s="1"/>
  <c r="E45" i="28"/>
  <c r="AL45" i="28" s="1"/>
  <c r="D45" i="28"/>
  <c r="C45" i="28"/>
  <c r="AJ45" i="28" s="1"/>
  <c r="AF44" i="28"/>
  <c r="AE44" i="28"/>
  <c r="AD44" i="28"/>
  <c r="AC44" i="28"/>
  <c r="I44" i="28" s="1"/>
  <c r="AB44" i="28"/>
  <c r="AA44" i="28"/>
  <c r="Z44" i="28"/>
  <c r="Y44" i="28"/>
  <c r="X44" i="28"/>
  <c r="W44" i="28"/>
  <c r="BB44" i="28" s="1"/>
  <c r="V44" i="28"/>
  <c r="O44" i="28"/>
  <c r="AV145" i="28" s="1"/>
  <c r="N44" i="28"/>
  <c r="M44" i="28"/>
  <c r="AT145" i="28" s="1"/>
  <c r="L44" i="28"/>
  <c r="K44" i="28"/>
  <c r="G44" i="28"/>
  <c r="AN145" i="28" s="1"/>
  <c r="F44" i="28"/>
  <c r="AM145" i="28" s="1"/>
  <c r="E44" i="28"/>
  <c r="D44" i="28"/>
  <c r="C44" i="28"/>
  <c r="AJ44" i="28" s="1"/>
  <c r="AF43" i="28"/>
  <c r="AE43" i="28"/>
  <c r="J43" i="28" s="1"/>
  <c r="AQ43" i="28" s="1"/>
  <c r="AD43" i="28"/>
  <c r="AC43" i="28"/>
  <c r="I43" i="28" s="1"/>
  <c r="AB43" i="28"/>
  <c r="H43" i="28" s="1"/>
  <c r="Z43" i="28"/>
  <c r="Y43" i="28"/>
  <c r="X43" i="28"/>
  <c r="W43" i="28"/>
  <c r="BB43" i="28" s="1"/>
  <c r="O43" i="28"/>
  <c r="AV43" i="28" s="1"/>
  <c r="N43" i="28"/>
  <c r="AU43" i="28" s="1"/>
  <c r="M43" i="28"/>
  <c r="AT43" i="28" s="1"/>
  <c r="L43" i="28"/>
  <c r="AS43" i="28" s="1"/>
  <c r="K43" i="28"/>
  <c r="AR43" i="28" s="1"/>
  <c r="G43" i="28"/>
  <c r="AN43" i="28" s="1"/>
  <c r="F43" i="28"/>
  <c r="AM43" i="28" s="1"/>
  <c r="E43" i="28"/>
  <c r="AL43" i="28" s="1"/>
  <c r="D43" i="28"/>
  <c r="AK43" i="28" s="1"/>
  <c r="C43" i="28"/>
  <c r="AJ43" i="28" s="1"/>
  <c r="AF42" i="28"/>
  <c r="AE42" i="28"/>
  <c r="AD42" i="28"/>
  <c r="AC42" i="28"/>
  <c r="I42" i="28" s="1"/>
  <c r="AB42" i="28"/>
  <c r="AA42" i="28"/>
  <c r="Z42" i="28"/>
  <c r="Y42" i="28"/>
  <c r="X42" i="28"/>
  <c r="W42" i="28"/>
  <c r="BB42" i="28" s="1"/>
  <c r="V42" i="28"/>
  <c r="O42" i="28"/>
  <c r="AV42" i="28" s="1"/>
  <c r="N42" i="28"/>
  <c r="AU42" i="28" s="1"/>
  <c r="M42" i="28"/>
  <c r="AT42" i="28" s="1"/>
  <c r="L42" i="28"/>
  <c r="AS42" i="28" s="1"/>
  <c r="K42" i="28"/>
  <c r="G42" i="28"/>
  <c r="AN42" i="28" s="1"/>
  <c r="F42" i="28"/>
  <c r="E42" i="28"/>
  <c r="AL42" i="28" s="1"/>
  <c r="D42" i="28"/>
  <c r="AK42" i="28" s="1"/>
  <c r="C42" i="28"/>
  <c r="AF41" i="28"/>
  <c r="AE41" i="28"/>
  <c r="AD41" i="28"/>
  <c r="AC41" i="28"/>
  <c r="I41" i="28" s="1"/>
  <c r="AP41" i="28" s="1"/>
  <c r="AB41" i="28"/>
  <c r="AA41" i="28"/>
  <c r="Y41" i="28"/>
  <c r="X41" i="28"/>
  <c r="W41" i="28"/>
  <c r="V41" i="28"/>
  <c r="O41" i="28"/>
  <c r="N41" i="28"/>
  <c r="M41" i="28"/>
  <c r="L41" i="28"/>
  <c r="K41" i="28"/>
  <c r="G41" i="28"/>
  <c r="F41" i="28"/>
  <c r="E41" i="28"/>
  <c r="D41" i="28"/>
  <c r="C41" i="28"/>
  <c r="O40" i="28"/>
  <c r="AF38" i="28"/>
  <c r="AE38" i="28"/>
  <c r="AD38" i="28"/>
  <c r="AC38" i="28"/>
  <c r="I38" i="28" s="1"/>
  <c r="AP38" i="28" s="1"/>
  <c r="AB38" i="28"/>
  <c r="AA38" i="28"/>
  <c r="Z38" i="28"/>
  <c r="X38" i="28"/>
  <c r="W38" i="28"/>
  <c r="V38" i="28"/>
  <c r="O38" i="28"/>
  <c r="N38" i="28"/>
  <c r="M38" i="28"/>
  <c r="L38" i="28"/>
  <c r="K38" i="28"/>
  <c r="G38" i="28"/>
  <c r="F38" i="28"/>
  <c r="E38" i="28"/>
  <c r="D38" i="28"/>
  <c r="C38" i="28"/>
  <c r="AF37" i="28"/>
  <c r="AE37" i="28"/>
  <c r="AD37" i="28"/>
  <c r="AC37" i="28"/>
  <c r="I37" i="28" s="1"/>
  <c r="AP37" i="28" s="1"/>
  <c r="AB37" i="28"/>
  <c r="AA37" i="28"/>
  <c r="Z37" i="28"/>
  <c r="Y37" i="28"/>
  <c r="X37" i="28"/>
  <c r="W37" i="28"/>
  <c r="V37" i="28"/>
  <c r="O37" i="28"/>
  <c r="N37" i="28"/>
  <c r="M37" i="28"/>
  <c r="L37" i="28"/>
  <c r="K37" i="28"/>
  <c r="G37" i="28"/>
  <c r="F37" i="28"/>
  <c r="E37" i="28"/>
  <c r="D37" i="28"/>
  <c r="C37" i="28"/>
  <c r="AF36" i="28"/>
  <c r="AE36" i="28"/>
  <c r="AD36" i="28"/>
  <c r="AC36" i="28"/>
  <c r="I36" i="28" s="1"/>
  <c r="AP36" i="28" s="1"/>
  <c r="AB36" i="28"/>
  <c r="AA36" i="28"/>
  <c r="Z36" i="28"/>
  <c r="Y36" i="28"/>
  <c r="X36" i="28"/>
  <c r="W36" i="28"/>
  <c r="V36" i="28"/>
  <c r="O36" i="28"/>
  <c r="N36" i="28"/>
  <c r="M36" i="28"/>
  <c r="L36" i="28"/>
  <c r="K36" i="28"/>
  <c r="G36" i="28"/>
  <c r="F36" i="28"/>
  <c r="E36" i="28"/>
  <c r="D36" i="28"/>
  <c r="C36" i="28"/>
  <c r="AF33" i="28"/>
  <c r="AE33" i="28"/>
  <c r="AD33" i="28"/>
  <c r="AC33" i="28"/>
  <c r="I33" i="28" s="1"/>
  <c r="AP33" i="28" s="1"/>
  <c r="AB33" i="28"/>
  <c r="AA33" i="28"/>
  <c r="H33" i="28" s="1"/>
  <c r="Z33" i="28"/>
  <c r="Y33" i="28"/>
  <c r="X33" i="28"/>
  <c r="W33" i="28"/>
  <c r="V33" i="28"/>
  <c r="O33" i="28"/>
  <c r="N33" i="28"/>
  <c r="M33" i="28"/>
  <c r="L33" i="28"/>
  <c r="K33" i="28"/>
  <c r="G33" i="28"/>
  <c r="F33" i="28"/>
  <c r="E33" i="28"/>
  <c r="D33" i="28"/>
  <c r="AF32" i="28"/>
  <c r="AE32" i="28"/>
  <c r="AD32" i="28"/>
  <c r="AC32" i="28"/>
  <c r="I32" i="28" s="1"/>
  <c r="AP32" i="28" s="1"/>
  <c r="AB32" i="28"/>
  <c r="AA32" i="28"/>
  <c r="H32" i="28" s="1"/>
  <c r="Z32" i="28"/>
  <c r="Y32" i="28"/>
  <c r="X32" i="28"/>
  <c r="W32" i="28"/>
  <c r="V32" i="28"/>
  <c r="O32" i="28"/>
  <c r="N32" i="28"/>
  <c r="M32" i="28"/>
  <c r="L32" i="28"/>
  <c r="K32" i="28"/>
  <c r="G32" i="28"/>
  <c r="F32" i="28"/>
  <c r="E32" i="28"/>
  <c r="D32" i="28"/>
  <c r="C32" i="28"/>
  <c r="AF31" i="28"/>
  <c r="AE31" i="28"/>
  <c r="AD31" i="28"/>
  <c r="AC31" i="28"/>
  <c r="I31" i="28" s="1"/>
  <c r="AP31" i="28" s="1"/>
  <c r="AB31" i="28"/>
  <c r="AA31" i="28"/>
  <c r="Z31" i="28"/>
  <c r="Y31" i="28"/>
  <c r="X31" i="28"/>
  <c r="W31" i="28"/>
  <c r="BB31" i="28" s="1"/>
  <c r="V31" i="28"/>
  <c r="O31" i="28"/>
  <c r="N31" i="28"/>
  <c r="M31" i="28"/>
  <c r="L31" i="28"/>
  <c r="K31" i="28"/>
  <c r="G31" i="28"/>
  <c r="F31" i="28"/>
  <c r="E31" i="28"/>
  <c r="D31" i="28"/>
  <c r="C31" i="28"/>
  <c r="AF30" i="28"/>
  <c r="AE30" i="28"/>
  <c r="AD30" i="28"/>
  <c r="AC30" i="28"/>
  <c r="I30" i="28" s="1"/>
  <c r="AP30" i="28" s="1"/>
  <c r="AB30" i="28"/>
  <c r="AA30" i="28"/>
  <c r="Z30" i="28"/>
  <c r="Y30" i="28"/>
  <c r="X30" i="28"/>
  <c r="W30" i="28"/>
  <c r="V30" i="28"/>
  <c r="O30" i="28"/>
  <c r="N30" i="28"/>
  <c r="M30" i="28"/>
  <c r="L30" i="28"/>
  <c r="K30" i="28"/>
  <c r="G30" i="28"/>
  <c r="F30" i="28"/>
  <c r="E30" i="28"/>
  <c r="D30" i="28"/>
  <c r="C30" i="28"/>
  <c r="AF29" i="28"/>
  <c r="AE29" i="28"/>
  <c r="AD29" i="28"/>
  <c r="J29" i="28" s="1"/>
  <c r="AC29" i="28"/>
  <c r="I29" i="28" s="1"/>
  <c r="AP29" i="28" s="1"/>
  <c r="AB29" i="28"/>
  <c r="AA29" i="28"/>
  <c r="Z29" i="28"/>
  <c r="Y29" i="28"/>
  <c r="X29" i="28"/>
  <c r="W29" i="28"/>
  <c r="V29" i="28"/>
  <c r="O29" i="28"/>
  <c r="N29" i="28"/>
  <c r="M29" i="28"/>
  <c r="L29" i="28"/>
  <c r="K29" i="28"/>
  <c r="G29" i="28"/>
  <c r="F29" i="28"/>
  <c r="E29" i="28"/>
  <c r="D29" i="28"/>
  <c r="C29" i="28"/>
  <c r="AF28" i="28"/>
  <c r="AE28" i="28"/>
  <c r="AD28" i="28"/>
  <c r="AC28" i="28"/>
  <c r="AB28" i="28"/>
  <c r="AA28" i="28"/>
  <c r="H28" i="28" s="1"/>
  <c r="Z28" i="28"/>
  <c r="Y28" i="28"/>
  <c r="X28" i="28"/>
  <c r="W28" i="28"/>
  <c r="V28" i="28"/>
  <c r="O28" i="28"/>
  <c r="N28" i="28"/>
  <c r="M28" i="28"/>
  <c r="L28" i="28"/>
  <c r="K28" i="28"/>
  <c r="G28" i="28"/>
  <c r="F28" i="28"/>
  <c r="E28" i="28"/>
  <c r="D28" i="28"/>
  <c r="C28" i="28"/>
  <c r="Q16" i="28"/>
  <c r="W19" i="28"/>
  <c r="V43" i="28" s="1"/>
  <c r="J100" i="28" l="1"/>
  <c r="BB83" i="28"/>
  <c r="AP92" i="28"/>
  <c r="AP96" i="28"/>
  <c r="J28" i="28"/>
  <c r="H31" i="28"/>
  <c r="H41" i="28"/>
  <c r="AK145" i="28"/>
  <c r="AR145" i="28"/>
  <c r="W40" i="28"/>
  <c r="J46" i="28"/>
  <c r="AQ46" i="28" s="1"/>
  <c r="T38" i="28"/>
  <c r="R38" i="28" s="1"/>
  <c r="AU147" i="28"/>
  <c r="J39" i="28"/>
  <c r="AP101" i="28"/>
  <c r="H100" i="28"/>
  <c r="C95" i="28"/>
  <c r="T90" i="28"/>
  <c r="E98" i="28"/>
  <c r="AL98" i="28" s="1"/>
  <c r="P145" i="28"/>
  <c r="AL147" i="28"/>
  <c r="Z98" i="28"/>
  <c r="H30" i="28"/>
  <c r="J31" i="28"/>
  <c r="H37" i="28"/>
  <c r="AO92" i="28" s="1"/>
  <c r="J37" i="28"/>
  <c r="H38" i="28"/>
  <c r="AR143" i="28"/>
  <c r="J83" i="28"/>
  <c r="H86" i="28"/>
  <c r="H89" i="28"/>
  <c r="J90" i="28"/>
  <c r="H93" i="28"/>
  <c r="AT97" i="28"/>
  <c r="BB143" i="28"/>
  <c r="H97" i="28"/>
  <c r="J97" i="28"/>
  <c r="P147" i="28"/>
  <c r="J41" i="28"/>
  <c r="AP44" i="28"/>
  <c r="AP145" i="28"/>
  <c r="AN146" i="28"/>
  <c r="AC40" i="28"/>
  <c r="I40" i="28" s="1"/>
  <c r="AP40" i="28" s="1"/>
  <c r="I45" i="28"/>
  <c r="X40" i="28"/>
  <c r="AR100" i="28"/>
  <c r="AQ83" i="28"/>
  <c r="AP84" i="28"/>
  <c r="AP88" i="28"/>
  <c r="AP91" i="28"/>
  <c r="AK97" i="28"/>
  <c r="J98" i="28"/>
  <c r="AQ98" i="28" s="1"/>
  <c r="AP99" i="28"/>
  <c r="AS100" i="28"/>
  <c r="AS101" i="28"/>
  <c r="AV44" i="28"/>
  <c r="I28" i="28"/>
  <c r="AP83" i="28" s="1"/>
  <c r="AP87" i="28"/>
  <c r="AP90" i="28"/>
  <c r="J32" i="28"/>
  <c r="H42" i="28"/>
  <c r="AO42" i="28" s="1"/>
  <c r="AL145" i="28"/>
  <c r="AS145" i="28"/>
  <c r="AP46" i="28"/>
  <c r="AP147" i="28"/>
  <c r="J35" i="28"/>
  <c r="AM101" i="28"/>
  <c r="AO83" i="28"/>
  <c r="AP85" i="28"/>
  <c r="Y94" i="28"/>
  <c r="AP94" i="28"/>
  <c r="AL97" i="28"/>
  <c r="AP97" i="28"/>
  <c r="AL146" i="28"/>
  <c r="AV100" i="28"/>
  <c r="AS44" i="28"/>
  <c r="AR42" i="28"/>
  <c r="AP42" i="28"/>
  <c r="AP143" i="28"/>
  <c r="AP43" i="28"/>
  <c r="AP144" i="28"/>
  <c r="X47" i="28"/>
  <c r="H29" i="28"/>
  <c r="H36" i="28"/>
  <c r="J38" i="28"/>
  <c r="H44" i="28"/>
  <c r="J44" i="28"/>
  <c r="AQ44" i="28" s="1"/>
  <c r="AA40" i="28"/>
  <c r="H40" i="28" s="1"/>
  <c r="H45" i="28"/>
  <c r="J45" i="28"/>
  <c r="H101" i="28"/>
  <c r="F95" i="28"/>
  <c r="F102" i="28" s="1"/>
  <c r="AJ83" i="28"/>
  <c r="H84" i="28"/>
  <c r="AP86" i="28"/>
  <c r="H88" i="28"/>
  <c r="AP89" i="28"/>
  <c r="H91" i="28"/>
  <c r="AP93" i="28"/>
  <c r="J94" i="28"/>
  <c r="D98" i="28"/>
  <c r="AK98" i="28" s="1"/>
  <c r="AP98" i="28"/>
  <c r="BB99" i="28"/>
  <c r="BB122" i="28" s="1"/>
  <c r="H99" i="28"/>
  <c r="AO145" i="28" s="1"/>
  <c r="F100" i="28"/>
  <c r="AE95" i="28"/>
  <c r="AK44" i="28"/>
  <c r="AM100" i="28"/>
  <c r="AK146" i="28"/>
  <c r="AM98" i="28"/>
  <c r="AM97" i="28"/>
  <c r="AK99" i="28"/>
  <c r="AL101" i="28"/>
  <c r="AN45" i="28"/>
  <c r="E47" i="28"/>
  <c r="T101" i="28"/>
  <c r="R101" i="28" s="1"/>
  <c r="AU101" i="28"/>
  <c r="M47" i="28"/>
  <c r="AS46" i="28"/>
  <c r="J42" i="28"/>
  <c r="AQ42" i="28" s="1"/>
  <c r="O94" i="28"/>
  <c r="O47" i="28"/>
  <c r="J89" i="28"/>
  <c r="W94" i="28"/>
  <c r="J92" i="28"/>
  <c r="AQ92" i="28" s="1"/>
  <c r="AN144" i="28"/>
  <c r="AK147" i="28"/>
  <c r="W47" i="28"/>
  <c r="AJ143" i="28"/>
  <c r="AT101" i="28"/>
  <c r="AL99" i="28"/>
  <c r="AK143" i="28"/>
  <c r="AF95" i="28"/>
  <c r="M95" i="28"/>
  <c r="AR97" i="28"/>
  <c r="AM99" i="28"/>
  <c r="AL143" i="28"/>
  <c r="AM146" i="28"/>
  <c r="J34" i="28"/>
  <c r="J47" i="28" s="1"/>
  <c r="N95" i="28"/>
  <c r="AS97" i="28"/>
  <c r="AN99" i="28"/>
  <c r="AN101" i="28"/>
  <c r="BB97" i="28"/>
  <c r="BB120" i="28" s="1"/>
  <c r="AK144" i="28"/>
  <c r="AM143" i="28"/>
  <c r="AN100" i="28"/>
  <c r="V39" i="28"/>
  <c r="T34" i="28"/>
  <c r="P34" i="28" s="1"/>
  <c r="C89" i="28"/>
  <c r="AN143" i="28"/>
  <c r="AU97" i="28"/>
  <c r="J36" i="28"/>
  <c r="AK101" i="28"/>
  <c r="AR101" i="28"/>
  <c r="AV143" i="28"/>
  <c r="AT99" i="28"/>
  <c r="AV101" i="28"/>
  <c r="J96" i="28"/>
  <c r="AN147" i="28"/>
  <c r="J33" i="28"/>
  <c r="AV99" i="28"/>
  <c r="Y95" i="28"/>
  <c r="Y102" i="28" s="1"/>
  <c r="J30" i="28"/>
  <c r="N40" i="28"/>
  <c r="N47" i="28" s="1"/>
  <c r="C47" i="28"/>
  <c r="Y40" i="28"/>
  <c r="Y47" i="28" s="1"/>
  <c r="D47" i="28"/>
  <c r="Z40" i="28"/>
  <c r="Z47" i="28" s="1"/>
  <c r="X95" i="28"/>
  <c r="X102" i="28" s="1"/>
  <c r="AU100" i="28"/>
  <c r="AL100" i="28"/>
  <c r="F47" i="28"/>
  <c r="AJ101" i="28"/>
  <c r="G47" i="28"/>
  <c r="K47" i="28"/>
  <c r="L47" i="28"/>
  <c r="T35" i="28"/>
  <c r="Q35" i="28" s="1"/>
  <c r="AJ144" i="28"/>
  <c r="AK100" i="28"/>
  <c r="AD95" i="28"/>
  <c r="J95" i="28" s="1"/>
  <c r="J101" i="28"/>
  <c r="V47" i="28"/>
  <c r="BB100" i="28"/>
  <c r="BB123" i="28" s="1"/>
  <c r="W95" i="28"/>
  <c r="W102" i="28" s="1"/>
  <c r="BB146" i="28"/>
  <c r="V95" i="28"/>
  <c r="AV98" i="28"/>
  <c r="AV144" i="28"/>
  <c r="AA95" i="28"/>
  <c r="H95" i="28" s="1"/>
  <c r="AT146" i="28"/>
  <c r="AT100" i="28"/>
  <c r="AQ45" i="28"/>
  <c r="AQ146" i="28"/>
  <c r="T100" i="28"/>
  <c r="R100" i="28" s="1"/>
  <c r="Z95" i="28"/>
  <c r="AJ99" i="28"/>
  <c r="AJ145" i="28"/>
  <c r="AR147" i="28"/>
  <c r="F126" i="28"/>
  <c r="BB98" i="28"/>
  <c r="BB121" i="28" s="1"/>
  <c r="BB144" i="28"/>
  <c r="AB95" i="28"/>
  <c r="AB102" i="28" s="1"/>
  <c r="AC95" i="28"/>
  <c r="AT147" i="28"/>
  <c r="BB147" i="28"/>
  <c r="BB101" i="28"/>
  <c r="AQ100" i="28"/>
  <c r="T96" i="28"/>
  <c r="P96" i="28" s="1"/>
  <c r="N99" i="28"/>
  <c r="AU99" i="28" s="1"/>
  <c r="AN98" i="28"/>
  <c r="BB145" i="28"/>
  <c r="AF47" i="28"/>
  <c r="AE102" i="28"/>
  <c r="T89" i="28"/>
  <c r="Q89" i="28" s="1"/>
  <c r="K95" i="28"/>
  <c r="K102" i="28" s="1"/>
  <c r="AM42" i="28"/>
  <c r="T36" i="28"/>
  <c r="P36" i="28" s="1"/>
  <c r="AF102" i="28"/>
  <c r="J86" i="28"/>
  <c r="V99" i="28"/>
  <c r="AK45" i="28"/>
  <c r="AM147" i="28"/>
  <c r="T39" i="28"/>
  <c r="P39" i="28" s="1"/>
  <c r="T92" i="28"/>
  <c r="R92" i="28" s="1"/>
  <c r="AJ42" i="28"/>
  <c r="T30" i="28"/>
  <c r="P30" i="28" s="1"/>
  <c r="T99" i="28"/>
  <c r="Q99" i="28" s="1"/>
  <c r="AV97" i="28"/>
  <c r="AU44" i="28"/>
  <c r="AJ147" i="28"/>
  <c r="T33" i="28"/>
  <c r="P33" i="28" s="1"/>
  <c r="K98" i="28"/>
  <c r="AR98" i="28" s="1"/>
  <c r="AT44" i="28"/>
  <c r="T41" i="28"/>
  <c r="P41" i="28" s="1"/>
  <c r="AR144" i="28"/>
  <c r="AE40" i="28"/>
  <c r="J40" i="28" s="1"/>
  <c r="M98" i="28"/>
  <c r="AT98" i="28" s="1"/>
  <c r="AR44" i="28"/>
  <c r="T44" i="28"/>
  <c r="P44" i="28" s="1"/>
  <c r="W74" i="28"/>
  <c r="N98" i="28"/>
  <c r="AU98" i="28" s="1"/>
  <c r="AV146" i="28"/>
  <c r="AQ144" i="28"/>
  <c r="T85" i="28"/>
  <c r="P85" i="28" s="1"/>
  <c r="L98" i="28"/>
  <c r="T88" i="28"/>
  <c r="R88" i="28" s="1"/>
  <c r="AU146" i="28"/>
  <c r="AJ98" i="28"/>
  <c r="AN97" i="28"/>
  <c r="J85" i="28"/>
  <c r="AM44" i="28"/>
  <c r="AS146" i="28"/>
  <c r="AM144" i="28"/>
  <c r="AN44" i="28"/>
  <c r="AO44" i="28"/>
  <c r="T91" i="28"/>
  <c r="Q91" i="28" s="1"/>
  <c r="X98" i="28"/>
  <c r="T98" i="28" s="1"/>
  <c r="C100" i="28"/>
  <c r="AJ100" i="28" s="1"/>
  <c r="AL44" i="28"/>
  <c r="AR146" i="28"/>
  <c r="E102" i="28"/>
  <c r="AJ97" i="28"/>
  <c r="AV46" i="28"/>
  <c r="R143" i="28"/>
  <c r="T32" i="28"/>
  <c r="P32" i="28" s="1"/>
  <c r="G102" i="28"/>
  <c r="T84" i="28"/>
  <c r="R84" i="28" s="1"/>
  <c r="AU46" i="28"/>
  <c r="Q143" i="28"/>
  <c r="AS99" i="28"/>
  <c r="AR46" i="28"/>
  <c r="AU143" i="28"/>
  <c r="AR99" i="28"/>
  <c r="AT143" i="28"/>
  <c r="D102" i="28"/>
  <c r="T87" i="28"/>
  <c r="J84" i="28"/>
  <c r="AS143" i="28"/>
  <c r="AT46" i="28"/>
  <c r="AO98" i="28"/>
  <c r="O102" i="28"/>
  <c r="T97" i="28"/>
  <c r="R97" i="28" s="1"/>
  <c r="T43" i="28"/>
  <c r="R43" i="28" s="1"/>
  <c r="T37" i="28"/>
  <c r="Q37" i="28" s="1"/>
  <c r="J87" i="28"/>
  <c r="T29" i="28"/>
  <c r="R29" i="28" s="1"/>
  <c r="T28" i="28"/>
  <c r="Q28" i="28" s="1"/>
  <c r="AE47" i="28"/>
  <c r="T94" i="28"/>
  <c r="R94" i="28" s="1"/>
  <c r="T31" i="28"/>
  <c r="Q31" i="28" s="1"/>
  <c r="T93" i="28"/>
  <c r="P93" i="28" s="1"/>
  <c r="T46" i="28"/>
  <c r="R46" i="28" s="1"/>
  <c r="Z102" i="28"/>
  <c r="T42" i="28"/>
  <c r="R42" i="28" s="1"/>
  <c r="AY42" i="28" s="1"/>
  <c r="T86" i="28"/>
  <c r="P86" i="28" s="1"/>
  <c r="AB47" i="28"/>
  <c r="T45" i="28"/>
  <c r="P45" i="28" s="1"/>
  <c r="R147" i="28"/>
  <c r="R145" i="28"/>
  <c r="P91" i="28"/>
  <c r="R99" i="28"/>
  <c r="R87" i="28"/>
  <c r="Q87" i="28"/>
  <c r="P87" i="28"/>
  <c r="R96" i="28"/>
  <c r="Q96" i="28"/>
  <c r="R90" i="28"/>
  <c r="Q90" i="28"/>
  <c r="P90" i="28"/>
  <c r="T83" i="28"/>
  <c r="Q38" i="28"/>
  <c r="R34" i="28"/>
  <c r="Q34" i="28"/>
  <c r="AD47" i="28"/>
  <c r="P38" i="28" l="1"/>
  <c r="AL144" i="28"/>
  <c r="AQ145" i="28"/>
  <c r="R35" i="28"/>
  <c r="U35" i="28" s="1"/>
  <c r="AD102" i="28"/>
  <c r="AQ99" i="28"/>
  <c r="H47" i="28"/>
  <c r="H102" i="28"/>
  <c r="P35" i="28"/>
  <c r="AC47" i="28"/>
  <c r="R39" i="28"/>
  <c r="P97" i="28"/>
  <c r="AW97" i="28" s="1"/>
  <c r="Q101" i="28"/>
  <c r="U90" i="28"/>
  <c r="P99" i="28"/>
  <c r="U99" i="28" s="1"/>
  <c r="AC102" i="28"/>
  <c r="I95" i="28"/>
  <c r="I47" i="28"/>
  <c r="AP28" i="28"/>
  <c r="P101" i="28"/>
  <c r="U87" i="28"/>
  <c r="AQ97" i="28"/>
  <c r="BB124" i="28"/>
  <c r="AA47" i="28"/>
  <c r="AQ143" i="28"/>
  <c r="AP45" i="28"/>
  <c r="AP146" i="28"/>
  <c r="AP100" i="28"/>
  <c r="Q30" i="28"/>
  <c r="J102" i="28"/>
  <c r="P29" i="28"/>
  <c r="R32" i="28"/>
  <c r="R30" i="28"/>
  <c r="T40" i="28"/>
  <c r="Q36" i="28"/>
  <c r="P42" i="28"/>
  <c r="AW42" i="28" s="1"/>
  <c r="Q86" i="28"/>
  <c r="Q42" i="28"/>
  <c r="R86" i="28"/>
  <c r="U86" i="28" s="1"/>
  <c r="P84" i="28"/>
  <c r="Q45" i="28"/>
  <c r="Q84" i="28"/>
  <c r="Q97" i="28"/>
  <c r="R37" i="28"/>
  <c r="R45" i="28"/>
  <c r="AY45" i="28" s="1"/>
  <c r="AT144" i="28"/>
  <c r="P37" i="28"/>
  <c r="Q33" i="28"/>
  <c r="P88" i="28"/>
  <c r="R33" i="28"/>
  <c r="Q88" i="28"/>
  <c r="T95" i="28"/>
  <c r="Q95" i="28" s="1"/>
  <c r="T102" i="28"/>
  <c r="R36" i="28"/>
  <c r="Q29" i="28"/>
  <c r="U29" i="28" s="1"/>
  <c r="R95" i="28"/>
  <c r="AY43" i="28"/>
  <c r="P98" i="28"/>
  <c r="R98" i="28"/>
  <c r="AY144" i="28" s="1"/>
  <c r="Q98" i="28"/>
  <c r="AW44" i="28"/>
  <c r="Q92" i="28"/>
  <c r="AO45" i="28"/>
  <c r="AO146" i="28"/>
  <c r="Q32" i="28"/>
  <c r="U147" i="28"/>
  <c r="AY147" i="28"/>
  <c r="V94" i="28"/>
  <c r="V98" i="28"/>
  <c r="Q85" i="28"/>
  <c r="AY143" i="28"/>
  <c r="P92" i="28"/>
  <c r="T47" i="28"/>
  <c r="AO100" i="28"/>
  <c r="R85" i="28"/>
  <c r="Q100" i="28"/>
  <c r="AX100" i="28" s="1"/>
  <c r="R31" i="28"/>
  <c r="AO101" i="28"/>
  <c r="R93" i="28"/>
  <c r="AW45" i="28"/>
  <c r="C102" i="28"/>
  <c r="AU144" i="28"/>
  <c r="AO143" i="28"/>
  <c r="P28" i="28"/>
  <c r="Q93" i="28"/>
  <c r="R28" i="28"/>
  <c r="P46" i="28"/>
  <c r="Q44" i="28"/>
  <c r="AU145" i="28"/>
  <c r="AS98" i="28"/>
  <c r="AS144" i="28"/>
  <c r="L102" i="28"/>
  <c r="P100" i="28"/>
  <c r="AW146" i="28" s="1"/>
  <c r="AO46" i="28"/>
  <c r="AO147" i="28"/>
  <c r="Q46" i="28"/>
  <c r="AO43" i="28"/>
  <c r="AO144" i="28"/>
  <c r="R44" i="28"/>
  <c r="AY44" i="28" s="1"/>
  <c r="N102" i="28"/>
  <c r="U96" i="28"/>
  <c r="P89" i="28"/>
  <c r="U143" i="28"/>
  <c r="P43" i="28"/>
  <c r="Q41" i="28"/>
  <c r="M102" i="28"/>
  <c r="AQ101" i="28"/>
  <c r="AQ147" i="28"/>
  <c r="R91" i="28"/>
  <c r="U91" i="28" s="1"/>
  <c r="R41" i="28"/>
  <c r="P94" i="28"/>
  <c r="R89" i="28"/>
  <c r="AO99" i="28"/>
  <c r="P31" i="28"/>
  <c r="Q43" i="28"/>
  <c r="U43" i="28" s="1"/>
  <c r="Q94" i="28"/>
  <c r="AA102" i="28"/>
  <c r="AO97" i="28"/>
  <c r="Q39" i="28"/>
  <c r="AJ146" i="28"/>
  <c r="U145" i="28"/>
  <c r="AY46" i="28"/>
  <c r="U38" i="28"/>
  <c r="AX97" i="28"/>
  <c r="AY97" i="28"/>
  <c r="AY101" i="28"/>
  <c r="R83" i="28"/>
  <c r="Q83" i="28"/>
  <c r="P83" i="28"/>
  <c r="U34" i="28"/>
  <c r="AW143" i="28" l="1"/>
  <c r="U41" i="28"/>
  <c r="U32" i="28"/>
  <c r="AW145" i="28"/>
  <c r="U42" i="28"/>
  <c r="U39" i="28"/>
  <c r="AW99" i="28"/>
  <c r="U92" i="28"/>
  <c r="U101" i="28"/>
  <c r="U45" i="28"/>
  <c r="U30" i="28"/>
  <c r="AX42" i="28"/>
  <c r="U31" i="28"/>
  <c r="U46" i="28"/>
  <c r="AX143" i="28"/>
  <c r="AP95" i="28"/>
  <c r="I102" i="28"/>
  <c r="V102" i="28"/>
  <c r="AY146" i="28"/>
  <c r="U93" i="28"/>
  <c r="AX45" i="28"/>
  <c r="P95" i="28"/>
  <c r="U95" i="28" s="1"/>
  <c r="AY100" i="28"/>
  <c r="U37" i="28"/>
  <c r="U36" i="28"/>
  <c r="AX101" i="28"/>
  <c r="U33" i="28"/>
  <c r="AW98" i="28"/>
  <c r="U84" i="28"/>
  <c r="U28" i="28"/>
  <c r="U97" i="28"/>
  <c r="U98" i="28"/>
  <c r="U88" i="28"/>
  <c r="U85" i="28"/>
  <c r="P40" i="28"/>
  <c r="Q40" i="28"/>
  <c r="Q47" i="28" s="1"/>
  <c r="R40" i="28"/>
  <c r="R47" i="28" s="1"/>
  <c r="AY98" i="28"/>
  <c r="U89" i="28"/>
  <c r="AX98" i="28"/>
  <c r="AX46" i="28"/>
  <c r="AX147" i="28"/>
  <c r="Q102" i="28"/>
  <c r="AW46" i="28"/>
  <c r="AW147" i="28"/>
  <c r="R102" i="28"/>
  <c r="AX44" i="28"/>
  <c r="AX145" i="28"/>
  <c r="AX43" i="28"/>
  <c r="AX144" i="28"/>
  <c r="U44" i="28"/>
  <c r="AY145" i="28"/>
  <c r="AX99" i="28"/>
  <c r="AW100" i="28"/>
  <c r="U100" i="28"/>
  <c r="AX146" i="28"/>
  <c r="AY99" i="28"/>
  <c r="U94" i="28"/>
  <c r="AW101" i="28"/>
  <c r="AW43" i="28"/>
  <c r="AW144" i="28"/>
  <c r="P102" i="28"/>
  <c r="U83" i="28"/>
  <c r="U40" i="28" l="1"/>
  <c r="P47" i="28"/>
  <c r="U47" i="28" s="1"/>
  <c r="H48" i="28" s="1"/>
  <c r="U102" i="28"/>
  <c r="C48" i="28"/>
  <c r="R48" i="28"/>
  <c r="G48" i="28"/>
  <c r="O48" i="28"/>
  <c r="M48" i="28"/>
  <c r="F48" i="28" l="1"/>
  <c r="K48" i="28"/>
  <c r="Q48" i="28"/>
  <c r="D48" i="28"/>
  <c r="P48" i="28"/>
  <c r="J48" i="28"/>
  <c r="E48" i="28"/>
  <c r="I103" i="28"/>
  <c r="C103" i="28"/>
  <c r="L48" i="28"/>
  <c r="I48" i="28"/>
  <c r="N48" i="28"/>
  <c r="G103" i="28"/>
  <c r="L103" i="28"/>
  <c r="E103" i="28"/>
  <c r="N103" i="28"/>
  <c r="F103" i="28"/>
  <c r="O103" i="28"/>
  <c r="D103" i="28"/>
  <c r="M103" i="28"/>
  <c r="K103" i="28"/>
  <c r="H103" i="28"/>
  <c r="J103" i="28"/>
  <c r="R103" i="28"/>
  <c r="Q103" i="28"/>
  <c r="P103" i="28"/>
  <c r="BB29" i="28" l="1"/>
  <c r="BB30" i="28"/>
  <c r="BB32" i="28"/>
  <c r="BB33" i="28"/>
  <c r="BB34" i="28"/>
  <c r="BB35" i="28"/>
  <c r="BB36" i="28"/>
  <c r="BB37" i="28"/>
  <c r="BB41" i="28"/>
  <c r="BB28" i="28"/>
  <c r="BB96" i="28"/>
  <c r="BB119" i="28" s="1"/>
  <c r="AV96" i="28"/>
  <c r="AU96" i="28"/>
  <c r="AT96" i="28"/>
  <c r="AS96" i="28"/>
  <c r="AR96" i="28"/>
  <c r="AN96" i="28"/>
  <c r="AM96" i="28"/>
  <c r="AL96" i="28"/>
  <c r="AK96" i="28"/>
  <c r="AJ95" i="28"/>
  <c r="BB92" i="28"/>
  <c r="AU92" i="28"/>
  <c r="AN92" i="28"/>
  <c r="AM92" i="28"/>
  <c r="AL92" i="28"/>
  <c r="AK92" i="28"/>
  <c r="AJ92" i="28"/>
  <c r="BB91" i="28"/>
  <c r="AN91" i="28"/>
  <c r="AM91" i="28"/>
  <c r="AL91" i="28"/>
  <c r="AK91" i="28"/>
  <c r="AJ91" i="28"/>
  <c r="BB90" i="28"/>
  <c r="BB113" i="28" s="1"/>
  <c r="AR90" i="28"/>
  <c r="AN90" i="28"/>
  <c r="AM90" i="28"/>
  <c r="AL90" i="28"/>
  <c r="AK90" i="28"/>
  <c r="AJ90" i="28"/>
  <c r="BB89" i="28"/>
  <c r="BB112" i="28" s="1"/>
  <c r="AR89" i="28"/>
  <c r="AN89" i="28"/>
  <c r="AM89" i="28"/>
  <c r="AL89" i="28"/>
  <c r="AK89" i="28"/>
  <c r="AJ89" i="28"/>
  <c r="BB88" i="28"/>
  <c r="AN88" i="28"/>
  <c r="AM88" i="28"/>
  <c r="AL88" i="28"/>
  <c r="AK88" i="28"/>
  <c r="AJ88" i="28"/>
  <c r="BB87" i="28"/>
  <c r="BB110" i="28" s="1"/>
  <c r="AT87" i="28"/>
  <c r="AN87" i="28"/>
  <c r="AM87" i="28"/>
  <c r="AL87" i="28"/>
  <c r="AK87" i="28"/>
  <c r="AJ87" i="28"/>
  <c r="BB86" i="28"/>
  <c r="BB109" i="28" s="1"/>
  <c r="AS86" i="28"/>
  <c r="AR86" i="28"/>
  <c r="AN86" i="28"/>
  <c r="AM86" i="28"/>
  <c r="AL86" i="28"/>
  <c r="AK86" i="28"/>
  <c r="AJ86" i="28"/>
  <c r="BB85" i="28"/>
  <c r="BB108" i="28" s="1"/>
  <c r="AN85" i="28"/>
  <c r="AM85" i="28"/>
  <c r="AL85" i="28"/>
  <c r="AK85" i="28"/>
  <c r="AJ85" i="28"/>
  <c r="BB84" i="28"/>
  <c r="BB107" i="28" s="1"/>
  <c r="AN84" i="28"/>
  <c r="AM84" i="28"/>
  <c r="AL84" i="28"/>
  <c r="AK84" i="28"/>
  <c r="AJ84" i="28"/>
  <c r="BB106" i="28"/>
  <c r="AV83" i="28"/>
  <c r="AU83" i="28"/>
  <c r="AT83" i="28"/>
  <c r="AS83" i="28"/>
  <c r="AR83" i="28"/>
  <c r="AN83" i="28"/>
  <c r="AL83" i="28"/>
  <c r="O130" i="28"/>
  <c r="O131" i="28"/>
  <c r="O132" i="28"/>
  <c r="O133" i="28"/>
  <c r="O134" i="28"/>
  <c r="O135" i="28"/>
  <c r="O136" i="28"/>
  <c r="O137" i="28"/>
  <c r="O138" i="28"/>
  <c r="O129" i="28"/>
  <c r="N130" i="28"/>
  <c r="N131" i="28"/>
  <c r="N132" i="28"/>
  <c r="N133" i="28"/>
  <c r="N134" i="28"/>
  <c r="N135" i="28"/>
  <c r="N136" i="28"/>
  <c r="N137" i="28"/>
  <c r="N138" i="28"/>
  <c r="N129" i="28"/>
  <c r="M130" i="28"/>
  <c r="M131" i="28"/>
  <c r="M132" i="28"/>
  <c r="M133" i="28"/>
  <c r="M134" i="28"/>
  <c r="M135" i="28"/>
  <c r="M136" i="28"/>
  <c r="M137" i="28"/>
  <c r="M138" i="28"/>
  <c r="M129" i="28"/>
  <c r="L130" i="28"/>
  <c r="L131" i="28"/>
  <c r="L132" i="28"/>
  <c r="L133" i="28"/>
  <c r="L134" i="28"/>
  <c r="L135" i="28"/>
  <c r="L136" i="28"/>
  <c r="L137" i="28"/>
  <c r="L138" i="28"/>
  <c r="L129" i="28"/>
  <c r="K130" i="28"/>
  <c r="K131" i="28"/>
  <c r="K132" i="28"/>
  <c r="K133" i="28"/>
  <c r="K134" i="28"/>
  <c r="K135" i="28"/>
  <c r="K136" i="28"/>
  <c r="K137" i="28"/>
  <c r="K138" i="28"/>
  <c r="K129" i="28"/>
  <c r="F129" i="28"/>
  <c r="K139" i="28"/>
  <c r="K141" i="28"/>
  <c r="K142" i="28"/>
  <c r="AR142" i="28" s="1"/>
  <c r="AF140" i="28"/>
  <c r="T140" i="28" s="1"/>
  <c r="AE140" i="28"/>
  <c r="AD140" i="28"/>
  <c r="AC140" i="28"/>
  <c r="I140" i="28" s="1"/>
  <c r="AP140" i="28" s="1"/>
  <c r="AB140" i="28"/>
  <c r="AA140" i="28"/>
  <c r="X141" i="28"/>
  <c r="L139" i="28"/>
  <c r="L141" i="28"/>
  <c r="AA139" i="28"/>
  <c r="Z136" i="28"/>
  <c r="Z142" i="28"/>
  <c r="AF141" i="28"/>
  <c r="AE141" i="28"/>
  <c r="AD141" i="28"/>
  <c r="AC141" i="28"/>
  <c r="I141" i="28" s="1"/>
  <c r="AP141" i="28" s="1"/>
  <c r="AB141" i="28"/>
  <c r="AA141" i="28"/>
  <c r="Z141" i="28"/>
  <c r="Y141" i="28"/>
  <c r="L142" i="28"/>
  <c r="M142" i="28"/>
  <c r="N142" i="28"/>
  <c r="O142" i="28"/>
  <c r="AV142" i="28" s="1"/>
  <c r="D142" i="28"/>
  <c r="O141" i="28"/>
  <c r="N141" i="28"/>
  <c r="M141" i="28"/>
  <c r="F141" i="28"/>
  <c r="C141" i="28"/>
  <c r="F139" i="28"/>
  <c r="W141" i="28"/>
  <c r="W139" i="28"/>
  <c r="V142" i="28"/>
  <c r="V141" i="28"/>
  <c r="V139" i="28"/>
  <c r="V138" i="28"/>
  <c r="O139" i="28"/>
  <c r="E139" i="28"/>
  <c r="C139" i="28"/>
  <c r="X136" i="28"/>
  <c r="AF142" i="28"/>
  <c r="AE142" i="28"/>
  <c r="AD142" i="28"/>
  <c r="AC142" i="28"/>
  <c r="I142" i="28" s="1"/>
  <c r="AP142" i="28" s="1"/>
  <c r="AB142" i="28"/>
  <c r="AA142" i="28"/>
  <c r="Y142" i="28"/>
  <c r="X142" i="28"/>
  <c r="T142" i="28" s="1"/>
  <c r="W142" i="28"/>
  <c r="G142" i="28"/>
  <c r="F142" i="28"/>
  <c r="E142" i="28"/>
  <c r="AL142" i="28" s="1"/>
  <c r="C142" i="28"/>
  <c r="G141" i="28"/>
  <c r="E141" i="28"/>
  <c r="D141" i="28"/>
  <c r="AF139" i="28"/>
  <c r="AE139" i="28"/>
  <c r="AD139" i="28"/>
  <c r="AC139" i="28"/>
  <c r="I139" i="28" s="1"/>
  <c r="AP139" i="28" s="1"/>
  <c r="AB139" i="28"/>
  <c r="Z139" i="28"/>
  <c r="Y139" i="28"/>
  <c r="X139" i="28"/>
  <c r="N139" i="28"/>
  <c r="M139" i="28"/>
  <c r="G139" i="28"/>
  <c r="D139" i="28"/>
  <c r="AF138" i="28"/>
  <c r="AE138" i="28"/>
  <c r="AD138" i="28"/>
  <c r="AC138" i="28"/>
  <c r="I138" i="28" s="1"/>
  <c r="AP138" i="28" s="1"/>
  <c r="AB138" i="28"/>
  <c r="AA138" i="28"/>
  <c r="Z138" i="28"/>
  <c r="Y138" i="28"/>
  <c r="X138" i="28"/>
  <c r="W138" i="28"/>
  <c r="BB138" i="28" s="1"/>
  <c r="G138" i="28"/>
  <c r="F138" i="28"/>
  <c r="E138" i="28"/>
  <c r="D138" i="28"/>
  <c r="AK138" i="28" s="1"/>
  <c r="C138" i="28"/>
  <c r="AF137" i="28"/>
  <c r="AE137" i="28"/>
  <c r="AD137" i="28"/>
  <c r="AC137" i="28"/>
  <c r="I137" i="28" s="1"/>
  <c r="AP137" i="28" s="1"/>
  <c r="AB137" i="28"/>
  <c r="AA137" i="28"/>
  <c r="Z137" i="28"/>
  <c r="Y137" i="28"/>
  <c r="X137" i="28"/>
  <c r="W137" i="28"/>
  <c r="BB137" i="28" s="1"/>
  <c r="V137" i="28"/>
  <c r="G137" i="28"/>
  <c r="F137" i="28"/>
  <c r="E137" i="28"/>
  <c r="AL137" i="28" s="1"/>
  <c r="D137" i="28"/>
  <c r="C137" i="28"/>
  <c r="AF136" i="28"/>
  <c r="AE136" i="28"/>
  <c r="AD136" i="28"/>
  <c r="AC136" i="28"/>
  <c r="I136" i="28" s="1"/>
  <c r="AP136" i="28" s="1"/>
  <c r="AB136" i="28"/>
  <c r="AA136" i="28"/>
  <c r="Y136" i="28"/>
  <c r="W136" i="28"/>
  <c r="V136" i="28"/>
  <c r="G136" i="28"/>
  <c r="AN136" i="28" s="1"/>
  <c r="F136" i="28"/>
  <c r="AM136" i="28" s="1"/>
  <c r="E136" i="28"/>
  <c r="D136" i="28"/>
  <c r="C136" i="28"/>
  <c r="AJ136" i="28" s="1"/>
  <c r="AF135" i="28"/>
  <c r="AE135" i="28"/>
  <c r="AD135" i="28"/>
  <c r="AC135" i="28"/>
  <c r="I135" i="28" s="1"/>
  <c r="AP135" i="28" s="1"/>
  <c r="AB135" i="28"/>
  <c r="AA135" i="28"/>
  <c r="H135" i="28" s="1"/>
  <c r="Z135" i="28"/>
  <c r="Y135" i="28"/>
  <c r="X135" i="28"/>
  <c r="W135" i="28"/>
  <c r="BB135" i="28" s="1"/>
  <c r="V135" i="28"/>
  <c r="G135" i="28"/>
  <c r="AN135" i="28" s="1"/>
  <c r="F135" i="28"/>
  <c r="E135" i="28"/>
  <c r="D135" i="28"/>
  <c r="AK135" i="28" s="1"/>
  <c r="C135" i="28"/>
  <c r="AJ135" i="28" s="1"/>
  <c r="AF134" i="28"/>
  <c r="AE134" i="28"/>
  <c r="AD134" i="28"/>
  <c r="AC134" i="28"/>
  <c r="I134" i="28" s="1"/>
  <c r="AP134" i="28" s="1"/>
  <c r="AB134" i="28"/>
  <c r="AA134" i="28"/>
  <c r="H134" i="28" s="1"/>
  <c r="Z134" i="28"/>
  <c r="Y134" i="28"/>
  <c r="X134" i="28"/>
  <c r="W134" i="28"/>
  <c r="V134" i="28"/>
  <c r="G134" i="28"/>
  <c r="F134" i="28"/>
  <c r="AM134" i="28" s="1"/>
  <c r="E134" i="28"/>
  <c r="D134" i="28"/>
  <c r="C134" i="28"/>
  <c r="AF133" i="28"/>
  <c r="AE133" i="28"/>
  <c r="AD133" i="28"/>
  <c r="AC133" i="28"/>
  <c r="I133" i="28" s="1"/>
  <c r="AP133" i="28" s="1"/>
  <c r="AB133" i="28"/>
  <c r="AA133" i="28"/>
  <c r="H133" i="28" s="1"/>
  <c r="Z133" i="28"/>
  <c r="Y133" i="28"/>
  <c r="X133" i="28"/>
  <c r="W133" i="28"/>
  <c r="V133" i="28"/>
  <c r="G133" i="28"/>
  <c r="F133" i="28"/>
  <c r="E133" i="28"/>
  <c r="D133" i="28"/>
  <c r="C133" i="28"/>
  <c r="AF132" i="28"/>
  <c r="AE132" i="28"/>
  <c r="AD132" i="28"/>
  <c r="AC132" i="28"/>
  <c r="I132" i="28" s="1"/>
  <c r="AP132" i="28" s="1"/>
  <c r="AB132" i="28"/>
  <c r="AA132" i="28"/>
  <c r="H132" i="28" s="1"/>
  <c r="Z132" i="28"/>
  <c r="Y132" i="28"/>
  <c r="X132" i="28"/>
  <c r="W132" i="28"/>
  <c r="V132" i="28"/>
  <c r="G132" i="28"/>
  <c r="F132" i="28"/>
  <c r="E132" i="28"/>
  <c r="D132" i="28"/>
  <c r="C132" i="28"/>
  <c r="AF131" i="28"/>
  <c r="AE131" i="28"/>
  <c r="AD131" i="28"/>
  <c r="AC131" i="28"/>
  <c r="I131" i="28" s="1"/>
  <c r="AP131" i="28" s="1"/>
  <c r="AB131" i="28"/>
  <c r="AA131" i="28"/>
  <c r="H131" i="28" s="1"/>
  <c r="Z131" i="28"/>
  <c r="Y131" i="28"/>
  <c r="X131" i="28"/>
  <c r="W131" i="28"/>
  <c r="V131" i="28"/>
  <c r="G131" i="28"/>
  <c r="AN131" i="28" s="1"/>
  <c r="F131" i="28"/>
  <c r="E131" i="28"/>
  <c r="D131" i="28"/>
  <c r="AK131" i="28" s="1"/>
  <c r="C131" i="28"/>
  <c r="AJ131" i="28" s="1"/>
  <c r="AF130" i="28"/>
  <c r="AE130" i="28"/>
  <c r="AD130" i="28"/>
  <c r="AC130" i="28"/>
  <c r="I130" i="28" s="1"/>
  <c r="AP130" i="28" s="1"/>
  <c r="AB130" i="28"/>
  <c r="AA130" i="28"/>
  <c r="H130" i="28" s="1"/>
  <c r="Z130" i="28"/>
  <c r="Y130" i="28"/>
  <c r="X130" i="28"/>
  <c r="W130" i="28"/>
  <c r="V130" i="28"/>
  <c r="G130" i="28"/>
  <c r="F130" i="28"/>
  <c r="E130" i="28"/>
  <c r="AL130" i="28" s="1"/>
  <c r="D130" i="28"/>
  <c r="C130" i="28"/>
  <c r="AF129" i="28"/>
  <c r="AE129" i="28"/>
  <c r="AD129" i="28"/>
  <c r="AC129" i="28"/>
  <c r="I129" i="28" s="1"/>
  <c r="AB129" i="28"/>
  <c r="AA129" i="28"/>
  <c r="H129" i="28" s="1"/>
  <c r="Z129" i="28"/>
  <c r="Y129" i="28"/>
  <c r="X129" i="28"/>
  <c r="W129" i="28"/>
  <c r="BB129" i="28" s="1"/>
  <c r="V129" i="28"/>
  <c r="G129" i="28"/>
  <c r="E129" i="28"/>
  <c r="D129" i="28"/>
  <c r="C129" i="28"/>
  <c r="BB114" i="28" l="1"/>
  <c r="H138" i="28"/>
  <c r="H142" i="28"/>
  <c r="BB115" i="28"/>
  <c r="I148" i="28"/>
  <c r="I149" i="28" s="1"/>
  <c r="AP129" i="28"/>
  <c r="H136" i="28"/>
  <c r="H137" i="28"/>
  <c r="H141" i="28"/>
  <c r="H139" i="28"/>
  <c r="H140" i="28"/>
  <c r="BB111" i="28"/>
  <c r="J141" i="28"/>
  <c r="J140" i="28"/>
  <c r="J142" i="28"/>
  <c r="R142" i="28"/>
  <c r="Q142" i="28"/>
  <c r="P142" i="28"/>
  <c r="J132" i="28"/>
  <c r="AJ129" i="28"/>
  <c r="AN129" i="28"/>
  <c r="T141" i="28"/>
  <c r="P141" i="28" s="1"/>
  <c r="AR129" i="28"/>
  <c r="AT129" i="28"/>
  <c r="AV129" i="28"/>
  <c r="AM135" i="28"/>
  <c r="T135" i="28"/>
  <c r="P135" i="28" s="1"/>
  <c r="AK137" i="28"/>
  <c r="J137" i="28"/>
  <c r="J139" i="28"/>
  <c r="AJ96" i="28"/>
  <c r="AJ134" i="28"/>
  <c r="AN134" i="28"/>
  <c r="V148" i="28"/>
  <c r="AK130" i="28"/>
  <c r="AK133" i="28"/>
  <c r="J130" i="28"/>
  <c r="BB131" i="28"/>
  <c r="AL132" i="28"/>
  <c r="J133" i="28"/>
  <c r="J134" i="28"/>
  <c r="J135" i="28"/>
  <c r="BB136" i="28"/>
  <c r="AK142" i="28"/>
  <c r="AM129" i="28"/>
  <c r="AS131" i="28"/>
  <c r="AT138" i="28"/>
  <c r="Z148" i="28"/>
  <c r="AK132" i="28"/>
  <c r="T132" i="28"/>
  <c r="R132" i="28" s="1"/>
  <c r="AJ133" i="28"/>
  <c r="AN133" i="28"/>
  <c r="J136" i="28"/>
  <c r="Q140" i="28"/>
  <c r="AR133" i="28"/>
  <c r="AV133" i="28"/>
  <c r="AR137" i="28"/>
  <c r="AV137" i="28"/>
  <c r="AA148" i="28"/>
  <c r="J131" i="28"/>
  <c r="AK136" i="28"/>
  <c r="AU131" i="28"/>
  <c r="AR134" i="28"/>
  <c r="AV134" i="28"/>
  <c r="BB134" i="28"/>
  <c r="AL135" i="28"/>
  <c r="T139" i="28"/>
  <c r="R139" i="28" s="1"/>
  <c r="AM142" i="28"/>
  <c r="AS142" i="28"/>
  <c r="AT130" i="28"/>
  <c r="AR131" i="28"/>
  <c r="AU132" i="28"/>
  <c r="AT133" i="28"/>
  <c r="AT137" i="28"/>
  <c r="AS138" i="28"/>
  <c r="AR91" i="28"/>
  <c r="AV131" i="28"/>
  <c r="AV85" i="28"/>
  <c r="AR136" i="28"/>
  <c r="AJ130" i="28"/>
  <c r="AN130" i="28"/>
  <c r="AJ132" i="28"/>
  <c r="AN132" i="28"/>
  <c r="AM133" i="28"/>
  <c r="T133" i="28"/>
  <c r="R133" i="28" s="1"/>
  <c r="T136" i="28"/>
  <c r="R136" i="28" s="1"/>
  <c r="AU134" i="28"/>
  <c r="AU88" i="28"/>
  <c r="AT135" i="28"/>
  <c r="AS136" i="28"/>
  <c r="AS90" i="28"/>
  <c r="AU137" i="28"/>
  <c r="AK83" i="28"/>
  <c r="AU91" i="28"/>
  <c r="AR85" i="28"/>
  <c r="AV136" i="28"/>
  <c r="AV90" i="28"/>
  <c r="T134" i="28"/>
  <c r="R134" i="28" s="1"/>
  <c r="AL138" i="28"/>
  <c r="J138" i="28"/>
  <c r="AS130" i="28"/>
  <c r="AT132" i="28"/>
  <c r="AS133" i="28"/>
  <c r="AS87" i="28"/>
  <c r="AU135" i="28"/>
  <c r="AU89" i="28"/>
  <c r="D148" i="28"/>
  <c r="AK129" i="28"/>
  <c r="W148" i="28"/>
  <c r="BB130" i="28"/>
  <c r="AE148" i="28"/>
  <c r="AL131" i="28"/>
  <c r="AK134" i="28"/>
  <c r="AM137" i="28"/>
  <c r="T137" i="28"/>
  <c r="P137" i="28" s="1"/>
  <c r="AM138" i="28"/>
  <c r="AN142" i="28"/>
  <c r="AU142" i="28"/>
  <c r="AU130" i="28"/>
  <c r="AR132" i="28"/>
  <c r="AV132" i="28"/>
  <c r="AS134" i="28"/>
  <c r="AR135" i="28"/>
  <c r="AV135" i="28"/>
  <c r="AT136" i="28"/>
  <c r="AU138" i="28"/>
  <c r="AM83" i="28"/>
  <c r="AV89" i="28"/>
  <c r="AL129" i="28"/>
  <c r="AM130" i="28"/>
  <c r="AM131" i="28"/>
  <c r="T131" i="28"/>
  <c r="Q131" i="28" s="1"/>
  <c r="AM132" i="28"/>
  <c r="BB132" i="28"/>
  <c r="AL133" i="28"/>
  <c r="BB133" i="28"/>
  <c r="AL134" i="28"/>
  <c r="AL136" i="28"/>
  <c r="AJ137" i="28"/>
  <c r="AN137" i="28"/>
  <c r="AJ138" i="28"/>
  <c r="AN138" i="28"/>
  <c r="T138" i="28"/>
  <c r="P138" i="28" s="1"/>
  <c r="AJ142" i="28"/>
  <c r="BB142" i="28"/>
  <c r="AJ141" i="28"/>
  <c r="AT142" i="28"/>
  <c r="AS129" i="28"/>
  <c r="AU129" i="28"/>
  <c r="AR130" i="28"/>
  <c r="AV130" i="28"/>
  <c r="AT131" i="28"/>
  <c r="AS132" i="28"/>
  <c r="AU133" i="28"/>
  <c r="AT134" i="28"/>
  <c r="AS135" i="28"/>
  <c r="AU136" i="28"/>
  <c r="AS137" i="28"/>
  <c r="AR138" i="28"/>
  <c r="AV138" i="28"/>
  <c r="AV91" i="28"/>
  <c r="AV86" i="28"/>
  <c r="AV92" i="28"/>
  <c r="AR92" i="28"/>
  <c r="AT91" i="28"/>
  <c r="AT88" i="28"/>
  <c r="AU85" i="28"/>
  <c r="AT84" i="28"/>
  <c r="AT92" i="28"/>
  <c r="AS91" i="28"/>
  <c r="AU90" i="28"/>
  <c r="AT89" i="28"/>
  <c r="AS88" i="28"/>
  <c r="AV87" i="28"/>
  <c r="AR87" i="28"/>
  <c r="AU86" i="28"/>
  <c r="AT85" i="28"/>
  <c r="AS84" i="28"/>
  <c r="AU84" i="28"/>
  <c r="AS92" i="28"/>
  <c r="AT90" i="28"/>
  <c r="AS89" i="28"/>
  <c r="AV88" i="28"/>
  <c r="AR88" i="28"/>
  <c r="AU87" i="28"/>
  <c r="AT86" i="28"/>
  <c r="AS85" i="28"/>
  <c r="AV84" i="28"/>
  <c r="AR84" i="28"/>
  <c r="O148" i="28"/>
  <c r="M148" i="28"/>
  <c r="K148" i="28"/>
  <c r="N148" i="28"/>
  <c r="L148" i="28"/>
  <c r="F148" i="28"/>
  <c r="AD148" i="28"/>
  <c r="J129" i="28"/>
  <c r="G148" i="28"/>
  <c r="X148" i="28"/>
  <c r="AB148" i="28"/>
  <c r="AF148" i="28"/>
  <c r="T130" i="28"/>
  <c r="Y148" i="28"/>
  <c r="AC148" i="28"/>
  <c r="T129" i="28"/>
  <c r="E148" i="28"/>
  <c r="H148" i="28" l="1"/>
  <c r="H149" i="28" s="1"/>
  <c r="U142" i="28"/>
  <c r="R131" i="28"/>
  <c r="P136" i="28"/>
  <c r="R140" i="28"/>
  <c r="R138" i="28"/>
  <c r="P134" i="28"/>
  <c r="Q134" i="28"/>
  <c r="U134" i="28" s="1"/>
  <c r="R141" i="28"/>
  <c r="Q135" i="28"/>
  <c r="Q132" i="28"/>
  <c r="P132" i="28"/>
  <c r="U132" i="28" s="1"/>
  <c r="Q141" i="28"/>
  <c r="R135" i="28"/>
  <c r="Q138" i="28"/>
  <c r="U138" i="28" s="1"/>
  <c r="P131" i="28"/>
  <c r="U131" i="28" s="1"/>
  <c r="P140" i="28"/>
  <c r="Q139" i="28"/>
  <c r="R137" i="28"/>
  <c r="P139" i="28"/>
  <c r="P133" i="28"/>
  <c r="Q133" i="28"/>
  <c r="Q137" i="28"/>
  <c r="Q136" i="28"/>
  <c r="U136" i="28" s="1"/>
  <c r="Q130" i="28"/>
  <c r="R130" i="28"/>
  <c r="P130" i="28"/>
  <c r="T148" i="28"/>
  <c r="P148" i="28" s="1"/>
  <c r="J148" i="28"/>
  <c r="R129" i="28"/>
  <c r="P129" i="28"/>
  <c r="Q129" i="28"/>
  <c r="U139" i="28" l="1"/>
  <c r="U137" i="28"/>
  <c r="U141" i="28"/>
  <c r="U135" i="28"/>
  <c r="U133" i="28"/>
  <c r="U129" i="28"/>
  <c r="R148" i="28"/>
  <c r="Q148" i="28"/>
  <c r="U130" i="28"/>
  <c r="AJ29" i="28" l="1"/>
  <c r="AK29" i="28"/>
  <c r="AL29" i="28"/>
  <c r="AM29" i="28"/>
  <c r="AN29" i="28"/>
  <c r="AR29" i="28"/>
  <c r="AS29" i="28"/>
  <c r="AT29" i="28"/>
  <c r="AU29" i="28"/>
  <c r="AV29" i="28"/>
  <c r="AJ30" i="28"/>
  <c r="AK30" i="28"/>
  <c r="AL30" i="28"/>
  <c r="AM30" i="28"/>
  <c r="AN30" i="28"/>
  <c r="AR30" i="28"/>
  <c r="AS30" i="28"/>
  <c r="AT30" i="28"/>
  <c r="AU30" i="28"/>
  <c r="AV30" i="28"/>
  <c r="AJ31" i="28"/>
  <c r="AK31" i="28"/>
  <c r="AL31" i="28"/>
  <c r="AM31" i="28"/>
  <c r="AN31" i="28"/>
  <c r="AR31" i="28"/>
  <c r="AS31" i="28"/>
  <c r="AT31" i="28"/>
  <c r="AU31" i="28"/>
  <c r="AV31" i="28"/>
  <c r="AJ32" i="28"/>
  <c r="AK32" i="28"/>
  <c r="AL32" i="28"/>
  <c r="AM32" i="28"/>
  <c r="AN32" i="28"/>
  <c r="AR32" i="28"/>
  <c r="AS32" i="28"/>
  <c r="AT32" i="28"/>
  <c r="AU32" i="28"/>
  <c r="AV32" i="28"/>
  <c r="AJ33" i="28"/>
  <c r="AK33" i="28"/>
  <c r="AL33" i="28"/>
  <c r="AM33" i="28"/>
  <c r="AN33" i="28"/>
  <c r="AR33" i="28"/>
  <c r="AS33" i="28"/>
  <c r="AT33" i="28"/>
  <c r="AU33" i="28"/>
  <c r="AV33" i="28"/>
  <c r="AJ34" i="28"/>
  <c r="AK34" i="28"/>
  <c r="AL34" i="28"/>
  <c r="AM34" i="28"/>
  <c r="AN34" i="28"/>
  <c r="AR34" i="28"/>
  <c r="AS34" i="28"/>
  <c r="AT34" i="28"/>
  <c r="AU34" i="28"/>
  <c r="AV34" i="28"/>
  <c r="AJ35" i="28"/>
  <c r="AK35" i="28"/>
  <c r="AL35" i="28"/>
  <c r="AM35" i="28"/>
  <c r="AN35" i="28"/>
  <c r="AR35" i="28"/>
  <c r="AS35" i="28"/>
  <c r="AT35" i="28"/>
  <c r="AU35" i="28"/>
  <c r="AV35" i="28"/>
  <c r="AJ36" i="28"/>
  <c r="AK36" i="28"/>
  <c r="AL36" i="28"/>
  <c r="AM36" i="28"/>
  <c r="AN36" i="28"/>
  <c r="AR36" i="28"/>
  <c r="AS36" i="28"/>
  <c r="AT36" i="28"/>
  <c r="AU36" i="28"/>
  <c r="AV36" i="28"/>
  <c r="AJ37" i="28"/>
  <c r="AK37" i="28"/>
  <c r="AL37" i="28"/>
  <c r="AM37" i="28"/>
  <c r="AN37" i="28"/>
  <c r="AR37" i="28"/>
  <c r="AS37" i="28"/>
  <c r="AT37" i="28"/>
  <c r="AU37" i="28"/>
  <c r="AV37" i="28"/>
  <c r="AJ41" i="28"/>
  <c r="AK41" i="28"/>
  <c r="AL41" i="28"/>
  <c r="AM41" i="28"/>
  <c r="AN41" i="28"/>
  <c r="AR41" i="28"/>
  <c r="AS41" i="28"/>
  <c r="AT41" i="28"/>
  <c r="AU41" i="28"/>
  <c r="AV41" i="28"/>
  <c r="AK28" i="28"/>
  <c r="AL28" i="28"/>
  <c r="AM28" i="28"/>
  <c r="AN28" i="28"/>
  <c r="AR28" i="28"/>
  <c r="AS28" i="28"/>
  <c r="AT28" i="28"/>
  <c r="AU28" i="28"/>
  <c r="AV28" i="28"/>
  <c r="AJ28" i="28"/>
  <c r="D16" i="28"/>
  <c r="E16" i="28"/>
  <c r="F16" i="28"/>
  <c r="G16" i="28"/>
  <c r="H16" i="28"/>
  <c r="J16" i="28"/>
  <c r="K16" i="28"/>
  <c r="L16" i="28"/>
  <c r="M16" i="28"/>
  <c r="N16" i="28"/>
  <c r="O16" i="28"/>
  <c r="P16" i="28"/>
  <c r="R16" i="28"/>
  <c r="S16" i="28"/>
  <c r="T16" i="28"/>
  <c r="U16" i="28"/>
  <c r="V16" i="28"/>
  <c r="W16" i="28"/>
  <c r="X16" i="28"/>
  <c r="C16" i="28"/>
  <c r="AV139" i="28" l="1"/>
  <c r="AV93" i="28"/>
  <c r="AM38" i="28"/>
  <c r="AM93" i="28"/>
  <c r="AM139" i="28"/>
  <c r="AN39" i="28"/>
  <c r="AN140" i="28"/>
  <c r="AN94" i="28"/>
  <c r="AS38" i="28"/>
  <c r="AS139" i="28"/>
  <c r="AS93" i="28"/>
  <c r="AU38" i="28"/>
  <c r="AU139" i="28"/>
  <c r="AU93" i="28"/>
  <c r="AL38" i="28"/>
  <c r="AL139" i="28"/>
  <c r="AL93" i="28"/>
  <c r="AV39" i="28"/>
  <c r="AV94" i="28"/>
  <c r="AV140" i="28"/>
  <c r="AR39" i="28"/>
  <c r="AR94" i="28"/>
  <c r="AR140" i="28"/>
  <c r="AM39" i="28"/>
  <c r="AM94" i="28"/>
  <c r="AM140" i="28"/>
  <c r="AS40" i="28"/>
  <c r="AS141" i="28"/>
  <c r="AS95" i="28"/>
  <c r="AU40" i="28"/>
  <c r="AU95" i="28"/>
  <c r="AU141" i="28"/>
  <c r="AL40" i="28"/>
  <c r="AL141" i="28"/>
  <c r="AL95" i="28"/>
  <c r="AR93" i="28"/>
  <c r="AR139" i="28"/>
  <c r="AR40" i="28"/>
  <c r="AR141" i="28"/>
  <c r="AR95" i="28"/>
  <c r="AT93" i="28"/>
  <c r="AT139" i="28"/>
  <c r="AK38" i="28"/>
  <c r="AK139" i="28"/>
  <c r="AK93" i="28"/>
  <c r="AS39" i="28"/>
  <c r="AS94" i="28"/>
  <c r="AS140" i="28"/>
  <c r="AU39" i="28"/>
  <c r="AU94" i="28"/>
  <c r="AU140" i="28"/>
  <c r="AL39" i="28"/>
  <c r="AL94" i="28"/>
  <c r="AL140" i="28"/>
  <c r="AT40" i="28"/>
  <c r="AT95" i="28"/>
  <c r="AT141" i="28"/>
  <c r="AK40" i="28"/>
  <c r="AK95" i="28"/>
  <c r="AK141" i="28"/>
  <c r="BB38" i="28"/>
  <c r="BB93" i="28"/>
  <c r="BB139" i="28"/>
  <c r="BB39" i="28"/>
  <c r="BB94" i="28"/>
  <c r="BB140" i="28"/>
  <c r="AV40" i="28"/>
  <c r="AV95" i="28"/>
  <c r="AV141" i="28"/>
  <c r="AM40" i="28"/>
  <c r="AM141" i="28"/>
  <c r="AM95" i="28"/>
  <c r="AJ38" i="28"/>
  <c r="AJ93" i="28"/>
  <c r="AJ139" i="28"/>
  <c r="AN38" i="28"/>
  <c r="AN93" i="28"/>
  <c r="AN139" i="28"/>
  <c r="AJ94" i="28"/>
  <c r="AT39" i="28"/>
  <c r="AT94" i="28"/>
  <c r="AT140" i="28"/>
  <c r="BB40" i="28"/>
  <c r="BB141" i="28"/>
  <c r="BB95" i="28"/>
  <c r="AN40" i="28"/>
  <c r="AN95" i="28"/>
  <c r="AN141" i="28"/>
  <c r="AK39" i="28"/>
  <c r="AK94" i="28"/>
  <c r="AK140" i="28"/>
  <c r="AO136" i="28"/>
  <c r="AO90" i="28"/>
  <c r="AQ32" i="28"/>
  <c r="AQ133" i="28"/>
  <c r="AQ87" i="28"/>
  <c r="AX31" i="28"/>
  <c r="AX132" i="28"/>
  <c r="AX86" i="28"/>
  <c r="AO41" i="28"/>
  <c r="AO142" i="28"/>
  <c r="AO96" i="28"/>
  <c r="AO34" i="28"/>
  <c r="AO135" i="28"/>
  <c r="AO89" i="28"/>
  <c r="AO29" i="28"/>
  <c r="AO130" i="28"/>
  <c r="AO84" i="28"/>
  <c r="AQ36" i="28"/>
  <c r="AQ137" i="28"/>
  <c r="AQ91" i="28"/>
  <c r="AQ31" i="28"/>
  <c r="AQ132" i="28"/>
  <c r="AQ86" i="28"/>
  <c r="AW142" i="28"/>
  <c r="AW96" i="28"/>
  <c r="AW34" i="28"/>
  <c r="AW135" i="28"/>
  <c r="AW89" i="28"/>
  <c r="AW30" i="28"/>
  <c r="AW131" i="28"/>
  <c r="AW85" i="28"/>
  <c r="AQ35" i="28"/>
  <c r="AQ136" i="28"/>
  <c r="AQ90" i="28"/>
  <c r="AO30" i="28"/>
  <c r="AO131" i="28"/>
  <c r="AO85" i="28"/>
  <c r="AW28" i="28"/>
  <c r="AW129" i="28"/>
  <c r="AW83" i="28"/>
  <c r="AO138" i="28"/>
  <c r="AO133" i="28"/>
  <c r="AO87" i="28"/>
  <c r="AQ28" i="28"/>
  <c r="AQ129" i="28"/>
  <c r="AQ34" i="28"/>
  <c r="AQ135" i="28"/>
  <c r="AQ89" i="28"/>
  <c r="AQ30" i="28"/>
  <c r="AQ131" i="28"/>
  <c r="AQ85" i="28"/>
  <c r="AY37" i="28"/>
  <c r="AY138" i="28"/>
  <c r="AY92" i="28"/>
  <c r="AY33" i="28"/>
  <c r="AY134" i="28"/>
  <c r="AY88" i="28"/>
  <c r="AW130" i="28"/>
  <c r="AW84" i="28"/>
  <c r="AO129" i="28"/>
  <c r="AQ37" i="28"/>
  <c r="AQ138" i="28"/>
  <c r="AX35" i="28"/>
  <c r="AX136" i="28"/>
  <c r="AX90" i="28"/>
  <c r="AO36" i="28"/>
  <c r="AO137" i="28"/>
  <c r="AO91" i="28"/>
  <c r="AO132" i="28"/>
  <c r="AO86" i="28"/>
  <c r="AQ41" i="28"/>
  <c r="AQ142" i="28"/>
  <c r="AQ96" i="28"/>
  <c r="AQ33" i="28"/>
  <c r="AQ134" i="28"/>
  <c r="AQ88" i="28"/>
  <c r="AQ29" i="28"/>
  <c r="AQ130" i="28"/>
  <c r="AQ84" i="28"/>
  <c r="AY36" i="28"/>
  <c r="AY137" i="28"/>
  <c r="AY91" i="28"/>
  <c r="AY32" i="28"/>
  <c r="AY133" i="28"/>
  <c r="AY87" i="28"/>
  <c r="AO33" i="28"/>
  <c r="AO134" i="28"/>
  <c r="AO88" i="28"/>
  <c r="AR38" i="28"/>
  <c r="AV38" i="28"/>
  <c r="AW29" i="28"/>
  <c r="AW41" i="28"/>
  <c r="AO37" i="28"/>
  <c r="AO28" i="28"/>
  <c r="AO35" i="28"/>
  <c r="AO31" i="28"/>
  <c r="AJ39" i="28"/>
  <c r="AO32" i="28"/>
  <c r="AJ40" i="28"/>
  <c r="AT38" i="28"/>
  <c r="BB116" i="28" l="1"/>
  <c r="BB118" i="28"/>
  <c r="BB117" i="28"/>
  <c r="AY28" i="28"/>
  <c r="AY129" i="28"/>
  <c r="AY83" i="28"/>
  <c r="AY31" i="28"/>
  <c r="AY132" i="28"/>
  <c r="AY86" i="28"/>
  <c r="AO38" i="28"/>
  <c r="AO139" i="28"/>
  <c r="AO93" i="28"/>
  <c r="AQ38" i="28"/>
  <c r="AQ139" i="28"/>
  <c r="AQ93" i="28"/>
  <c r="AO39" i="28"/>
  <c r="AO140" i="28"/>
  <c r="AO94" i="28"/>
  <c r="AW31" i="28"/>
  <c r="AW132" i="28"/>
  <c r="AW86" i="28"/>
  <c r="AW134" i="28"/>
  <c r="AW88" i="28"/>
  <c r="AY40" i="28"/>
  <c r="AY141" i="28"/>
  <c r="AY95" i="28"/>
  <c r="AY30" i="28"/>
  <c r="AY131" i="28"/>
  <c r="AY85" i="28"/>
  <c r="AO40" i="28"/>
  <c r="AO141" i="28"/>
  <c r="AO95" i="28"/>
  <c r="AY34" i="28"/>
  <c r="AY135" i="28"/>
  <c r="AY89" i="28"/>
  <c r="AW35" i="28"/>
  <c r="AW136" i="28"/>
  <c r="AW90" i="28"/>
  <c r="AW37" i="28"/>
  <c r="AW138" i="28"/>
  <c r="AW92" i="28"/>
  <c r="AW36" i="28"/>
  <c r="AW137" i="28"/>
  <c r="AW91" i="28"/>
  <c r="AX33" i="28"/>
  <c r="AX134" i="28"/>
  <c r="AX88" i="28"/>
  <c r="AX29" i="28"/>
  <c r="AX130" i="28"/>
  <c r="AX84" i="28"/>
  <c r="AY41" i="28"/>
  <c r="AY142" i="28"/>
  <c r="AY96" i="28"/>
  <c r="AX37" i="28"/>
  <c r="AX138" i="28"/>
  <c r="AX92" i="28"/>
  <c r="AX32" i="28"/>
  <c r="AX133" i="28"/>
  <c r="AX87" i="28"/>
  <c r="AX34" i="28"/>
  <c r="AX135" i="28"/>
  <c r="AX89" i="28"/>
  <c r="AX41" i="28"/>
  <c r="AX142" i="28"/>
  <c r="AX96" i="28"/>
  <c r="AY29" i="28"/>
  <c r="AY130" i="28"/>
  <c r="AY84" i="28"/>
  <c r="AX36" i="28"/>
  <c r="AX137" i="28"/>
  <c r="AX91" i="28"/>
  <c r="AX30" i="28"/>
  <c r="AX131" i="28"/>
  <c r="AX85" i="28"/>
  <c r="AQ39" i="28"/>
  <c r="AQ140" i="28"/>
  <c r="AQ94" i="28"/>
  <c r="AW32" i="28"/>
  <c r="AW133" i="28"/>
  <c r="AW87" i="28"/>
  <c r="AX28" i="28"/>
  <c r="AX129" i="28"/>
  <c r="AX83" i="28"/>
  <c r="AQ40" i="28"/>
  <c r="AQ141" i="28"/>
  <c r="AQ95" i="28"/>
  <c r="AY35" i="28"/>
  <c r="AY136" i="28"/>
  <c r="AY90" i="28"/>
  <c r="AW33" i="28"/>
  <c r="AX39" i="28" l="1"/>
  <c r="AX140" i="28"/>
  <c r="AX94" i="28"/>
  <c r="AX40" i="28"/>
  <c r="AX141" i="28"/>
  <c r="AX95" i="28"/>
  <c r="AW139" i="28"/>
  <c r="AW93" i="28"/>
  <c r="AW40" i="28"/>
  <c r="AW141" i="28"/>
  <c r="AW95" i="28"/>
  <c r="AX38" i="28"/>
  <c r="AX139" i="28"/>
  <c r="AX93" i="28"/>
  <c r="AY39" i="28"/>
  <c r="AY140" i="28"/>
  <c r="AY94" i="28"/>
  <c r="AW39" i="28"/>
  <c r="AW140" i="28"/>
  <c r="AW94" i="28"/>
  <c r="AY38" i="28"/>
  <c r="AY139" i="28"/>
  <c r="AY93" i="28"/>
  <c r="AW38" i="28"/>
  <c r="J37" i="16"/>
  <c r="J49" i="16" s="1"/>
  <c r="S44" i="16"/>
  <c r="S56" i="16" s="1"/>
  <c r="S37" i="16"/>
  <c r="S49" i="16" s="1"/>
  <c r="S45" i="16"/>
  <c r="S57" i="16" s="1"/>
  <c r="S43" i="16"/>
  <c r="S55" i="16" s="1"/>
  <c r="S39" i="16"/>
  <c r="S51" i="16" s="1"/>
  <c r="S38" i="16"/>
  <c r="S50" i="16" s="1"/>
  <c r="Q45" i="16"/>
  <c r="Q57" i="16" s="1"/>
  <c r="Q44" i="16"/>
  <c r="Q56" i="16" s="1"/>
  <c r="Q43" i="16"/>
  <c r="Q55" i="16" s="1"/>
  <c r="Q39" i="16"/>
  <c r="Q51" i="16" s="1"/>
  <c r="Q38" i="16"/>
  <c r="Q50" i="16" s="1"/>
  <c r="Q37" i="16"/>
  <c r="Q49" i="16" s="1"/>
  <c r="P44" i="16"/>
  <c r="P56" i="16" s="1"/>
  <c r="P43" i="16"/>
  <c r="P55" i="16" s="1"/>
  <c r="P38" i="16"/>
  <c r="P50" i="16" s="1"/>
  <c r="P37" i="16"/>
  <c r="P49" i="16" s="1"/>
  <c r="P45" i="16"/>
  <c r="P57" i="16" s="1"/>
  <c r="P39" i="16"/>
  <c r="P51" i="16" s="1"/>
  <c r="J43" i="16"/>
  <c r="J55" i="16" s="1"/>
  <c r="J46" i="16"/>
  <c r="J58" i="16" s="1"/>
  <c r="J45" i="16"/>
  <c r="J57" i="16" s="1"/>
  <c r="J44" i="16"/>
  <c r="J56" i="16" s="1"/>
  <c r="J42" i="16"/>
  <c r="J54" i="16" s="1"/>
  <c r="J39" i="16"/>
  <c r="J51" i="16" s="1"/>
  <c r="J38" i="16"/>
  <c r="J50" i="16" s="1"/>
  <c r="J35" i="16"/>
  <c r="J47" i="16" s="1"/>
  <c r="J36" i="16"/>
  <c r="J48" i="16" s="1"/>
  <c r="J40" i="16"/>
  <c r="J52" i="16" s="1"/>
  <c r="M14" i="16"/>
  <c r="M15" i="16"/>
  <c r="M13" i="16"/>
  <c r="H45" i="16"/>
  <c r="H57" i="16" s="1"/>
  <c r="H44" i="16"/>
  <c r="H56" i="16" s="1"/>
  <c r="H43" i="16"/>
  <c r="H55" i="16" s="1"/>
  <c r="H39" i="16"/>
  <c r="H51" i="16" s="1"/>
  <c r="H38" i="16"/>
  <c r="H50" i="16" s="1"/>
  <c r="H37" i="16"/>
  <c r="H49" i="16" s="1"/>
  <c r="G45" i="16"/>
  <c r="G57" i="16" s="1"/>
  <c r="G44" i="16"/>
  <c r="G56" i="16" s="1"/>
  <c r="G43" i="16"/>
  <c r="G55" i="16" s="1"/>
  <c r="G39" i="16"/>
  <c r="G51" i="16" s="1"/>
  <c r="G38" i="16"/>
  <c r="G50" i="16" s="1"/>
  <c r="G37" i="16"/>
  <c r="G49" i="16" s="1"/>
  <c r="F45" i="16"/>
  <c r="F57" i="16" s="1"/>
  <c r="F44" i="16"/>
  <c r="F56" i="16" s="1"/>
  <c r="F43" i="16"/>
  <c r="F55" i="16" s="1"/>
  <c r="F39" i="16"/>
  <c r="F51" i="16" s="1"/>
  <c r="F38" i="16"/>
  <c r="F50" i="16" s="1"/>
  <c r="F37" i="16"/>
  <c r="F49" i="16" s="1"/>
  <c r="G16" i="16"/>
  <c r="K16" i="16"/>
  <c r="D45" i="16"/>
  <c r="D57" i="16" s="1"/>
  <c r="D44" i="16"/>
  <c r="D56" i="16" s="1"/>
  <c r="D43" i="16"/>
  <c r="D55" i="16" s="1"/>
  <c r="D39" i="16"/>
  <c r="D51" i="16" s="1"/>
  <c r="D38" i="16"/>
  <c r="D50" i="16" s="1"/>
  <c r="D37" i="16"/>
  <c r="D49" i="16" s="1"/>
  <c r="C45" i="16"/>
  <c r="C57" i="16" s="1"/>
  <c r="C44" i="16"/>
  <c r="C56" i="16" s="1"/>
  <c r="C43" i="16"/>
  <c r="C55" i="16" s="1"/>
  <c r="C39" i="16"/>
  <c r="C51" i="16" s="1"/>
  <c r="C38" i="16"/>
  <c r="C50" i="16" s="1"/>
  <c r="C37" i="16"/>
  <c r="C49" i="16" s="1"/>
  <c r="J16" i="16"/>
  <c r="I16" i="16"/>
  <c r="H16" i="16"/>
  <c r="C35" i="16" l="1"/>
  <c r="C47" i="16" s="1"/>
  <c r="C36" i="16"/>
  <c r="C48" i="16" s="1"/>
  <c r="O39" i="16"/>
  <c r="O51" i="16" s="1"/>
  <c r="O45" i="16"/>
  <c r="O57" i="16" s="1"/>
  <c r="O38" i="16"/>
  <c r="O50" i="16" s="1"/>
  <c r="O44" i="16"/>
  <c r="O56" i="16" s="1"/>
  <c r="O43" i="16"/>
  <c r="O55" i="16" s="1"/>
  <c r="O37" i="16"/>
  <c r="O49" i="16" s="1"/>
  <c r="L39" i="16"/>
  <c r="L51" i="16" s="1"/>
  <c r="L45" i="16"/>
  <c r="L57" i="16" s="1"/>
  <c r="L43" i="16"/>
  <c r="L55" i="16" s="1"/>
  <c r="L37" i="16"/>
  <c r="L49" i="16" s="1"/>
  <c r="L38" i="16"/>
  <c r="L50" i="16" s="1"/>
  <c r="L44" i="16"/>
  <c r="L56" i="16" s="1"/>
  <c r="G42" i="16"/>
  <c r="G54" i="16" s="1"/>
  <c r="E38" i="16"/>
  <c r="E50" i="16" s="1"/>
  <c r="K38" i="16"/>
  <c r="K50" i="16" s="1"/>
  <c r="R43" i="16"/>
  <c r="R55" i="16" s="1"/>
  <c r="F41" i="16"/>
  <c r="F53" i="16" s="1"/>
  <c r="Q35" i="16"/>
  <c r="Q47" i="16" s="1"/>
  <c r="S40" i="16"/>
  <c r="S52" i="16" s="1"/>
  <c r="R39" i="16"/>
  <c r="R51" i="16" s="1"/>
  <c r="C40" i="16"/>
  <c r="C52" i="16" s="1"/>
  <c r="F40" i="16"/>
  <c r="F52" i="16" s="1"/>
  <c r="F42" i="16"/>
  <c r="F54" i="16" s="1"/>
  <c r="F46" i="16"/>
  <c r="F58" i="16" s="1"/>
  <c r="M44" i="16"/>
  <c r="M56" i="16" s="1"/>
  <c r="E44" i="16"/>
  <c r="E56" i="16" s="1"/>
  <c r="N44" i="16"/>
  <c r="N56" i="16" s="1"/>
  <c r="D36" i="16"/>
  <c r="D48" i="16" s="1"/>
  <c r="D40" i="16"/>
  <c r="D52" i="16" s="1"/>
  <c r="I44" i="16"/>
  <c r="I56" i="16" s="1"/>
  <c r="R44" i="16"/>
  <c r="R56" i="16" s="1"/>
  <c r="K44" i="16"/>
  <c r="K56" i="16" s="1"/>
  <c r="G46" i="16"/>
  <c r="G58" i="16" s="1"/>
  <c r="H46" i="16"/>
  <c r="H58" i="16" s="1"/>
  <c r="P41" i="16"/>
  <c r="P53" i="16" s="1"/>
  <c r="C42" i="16"/>
  <c r="C54" i="16" s="1"/>
  <c r="C41" i="16"/>
  <c r="C53" i="16" s="1"/>
  <c r="D41" i="16"/>
  <c r="D53" i="16" s="1"/>
  <c r="D46" i="16"/>
  <c r="D58" i="16" s="1"/>
  <c r="F35" i="16"/>
  <c r="F47" i="16" s="1"/>
  <c r="G35" i="16"/>
  <c r="H35" i="16"/>
  <c r="H47" i="16" s="1"/>
  <c r="P36" i="16"/>
  <c r="P48" i="16" s="1"/>
  <c r="P42" i="16"/>
  <c r="P54" i="16" s="1"/>
  <c r="Q36" i="16"/>
  <c r="Q48" i="16" s="1"/>
  <c r="Q40" i="16"/>
  <c r="Q52" i="16" s="1"/>
  <c r="S36" i="16"/>
  <c r="S48" i="16" s="1"/>
  <c r="S41" i="16"/>
  <c r="S53" i="16" s="1"/>
  <c r="S46" i="16"/>
  <c r="S58" i="16" s="1"/>
  <c r="E45" i="16"/>
  <c r="E57" i="16" s="1"/>
  <c r="I37" i="16"/>
  <c r="I49" i="16" s="1"/>
  <c r="I45" i="16"/>
  <c r="I57" i="16" s="1"/>
  <c r="K37" i="16"/>
  <c r="K49" i="16" s="1"/>
  <c r="K45" i="16"/>
  <c r="K57" i="16" s="1"/>
  <c r="M37" i="16"/>
  <c r="M49" i="16" s="1"/>
  <c r="M45" i="16"/>
  <c r="M57" i="16" s="1"/>
  <c r="N37" i="16"/>
  <c r="N49" i="16" s="1"/>
  <c r="N45" i="16"/>
  <c r="N57" i="16" s="1"/>
  <c r="R37" i="16"/>
  <c r="R49" i="16" s="1"/>
  <c r="R45" i="16"/>
  <c r="R57" i="16" s="1"/>
  <c r="H42" i="16"/>
  <c r="H54" i="16" s="1"/>
  <c r="C46" i="16"/>
  <c r="C58" i="16" s="1"/>
  <c r="D42" i="16"/>
  <c r="D54" i="16" s="1"/>
  <c r="G36" i="16"/>
  <c r="G48" i="16" s="1"/>
  <c r="G40" i="16"/>
  <c r="G52" i="16" s="1"/>
  <c r="H36" i="16"/>
  <c r="H48" i="16" s="1"/>
  <c r="H40" i="16"/>
  <c r="H52" i="16" s="1"/>
  <c r="Q41" i="16"/>
  <c r="Q53" i="16" s="1"/>
  <c r="S42" i="16"/>
  <c r="S54" i="16" s="1"/>
  <c r="E37" i="16"/>
  <c r="E49" i="16" s="1"/>
  <c r="I38" i="16"/>
  <c r="I50" i="16" s="1"/>
  <c r="M38" i="16"/>
  <c r="M50" i="16" s="1"/>
  <c r="N38" i="16"/>
  <c r="N50" i="16" s="1"/>
  <c r="R38" i="16"/>
  <c r="R50" i="16" s="1"/>
  <c r="D35" i="16"/>
  <c r="D47" i="16" s="1"/>
  <c r="F36" i="16"/>
  <c r="F48" i="16" s="1"/>
  <c r="G41" i="16"/>
  <c r="G53" i="16" s="1"/>
  <c r="H41" i="16"/>
  <c r="H53" i="16" s="1"/>
  <c r="P40" i="16"/>
  <c r="P52" i="16" s="1"/>
  <c r="P46" i="16"/>
  <c r="P58" i="16" s="1"/>
  <c r="Q42" i="16"/>
  <c r="Q54" i="16" s="1"/>
  <c r="Q46" i="16"/>
  <c r="Q58" i="16" s="1"/>
  <c r="E43" i="16"/>
  <c r="E55" i="16" s="1"/>
  <c r="E39" i="16"/>
  <c r="E51" i="16" s="1"/>
  <c r="I39" i="16"/>
  <c r="I51" i="16" s="1"/>
  <c r="I43" i="16"/>
  <c r="I55" i="16" s="1"/>
  <c r="K39" i="16"/>
  <c r="K51" i="16" s="1"/>
  <c r="K43" i="16"/>
  <c r="K55" i="16" s="1"/>
  <c r="M39" i="16"/>
  <c r="M51" i="16" s="1"/>
  <c r="M43" i="16"/>
  <c r="M55" i="16" s="1"/>
  <c r="N39" i="16"/>
  <c r="N51" i="16" s="1"/>
  <c r="N43" i="16"/>
  <c r="N55" i="16" s="1"/>
  <c r="M16" i="16"/>
  <c r="P35" i="16"/>
  <c r="P47" i="16" s="1"/>
  <c r="S35" i="16"/>
  <c r="S47" i="16" s="1"/>
  <c r="O35" i="16" l="1"/>
  <c r="O47" i="16" s="1"/>
  <c r="O46" i="16"/>
  <c r="O58" i="16" s="1"/>
  <c r="O42" i="16"/>
  <c r="O54" i="16" s="1"/>
  <c r="N35" i="16"/>
  <c r="N47" i="16" s="1"/>
  <c r="O41" i="16"/>
  <c r="O53" i="16" s="1"/>
  <c r="O36" i="16"/>
  <c r="O48" i="16" s="1"/>
  <c r="O40" i="16"/>
  <c r="O52" i="16" s="1"/>
  <c r="G47" i="16"/>
  <c r="L40" i="16"/>
  <c r="L52" i="16" s="1"/>
  <c r="L42" i="16"/>
  <c r="L54" i="16" s="1"/>
  <c r="L46" i="16"/>
  <c r="L58" i="16" s="1"/>
  <c r="L41" i="16"/>
  <c r="L53" i="16" s="1"/>
  <c r="L36" i="16"/>
  <c r="L48" i="16" s="1"/>
  <c r="L35" i="16"/>
  <c r="L47" i="16" s="1"/>
  <c r="R40" i="16"/>
  <c r="R52" i="16" s="1"/>
  <c r="R36" i="16"/>
  <c r="R48" i="16" s="1"/>
  <c r="N40" i="16"/>
  <c r="N52" i="16" s="1"/>
  <c r="N36" i="16"/>
  <c r="N48" i="16" s="1"/>
  <c r="M40" i="16"/>
  <c r="M52" i="16" s="1"/>
  <c r="M36" i="16"/>
  <c r="M48" i="16" s="1"/>
  <c r="K40" i="16"/>
  <c r="K52" i="16" s="1"/>
  <c r="K36" i="16"/>
  <c r="K48" i="16" s="1"/>
  <c r="I40" i="16"/>
  <c r="I52" i="16" s="1"/>
  <c r="I35" i="16"/>
  <c r="I47" i="16" s="1"/>
  <c r="E40" i="16"/>
  <c r="E52" i="16" s="1"/>
  <c r="E35" i="16"/>
  <c r="E47" i="16" s="1"/>
  <c r="I36" i="16"/>
  <c r="I48" i="16" s="1"/>
  <c r="R35" i="16"/>
  <c r="R47" i="16" s="1"/>
  <c r="M35" i="16"/>
  <c r="M47" i="16" s="1"/>
  <c r="K35" i="16"/>
  <c r="K47" i="16" s="1"/>
  <c r="R46" i="16"/>
  <c r="R58" i="16" s="1"/>
  <c r="R42" i="16"/>
  <c r="R54" i="16" s="1"/>
  <c r="N46" i="16"/>
  <c r="N58" i="16" s="1"/>
  <c r="N42" i="16"/>
  <c r="N54" i="16" s="1"/>
  <c r="M46" i="16"/>
  <c r="M58" i="16" s="1"/>
  <c r="M42" i="16"/>
  <c r="M54" i="16" s="1"/>
  <c r="K46" i="16"/>
  <c r="K58" i="16" s="1"/>
  <c r="K42" i="16"/>
  <c r="K54" i="16" s="1"/>
  <c r="I46" i="16"/>
  <c r="I58" i="16" s="1"/>
  <c r="I42" i="16"/>
  <c r="I54" i="16" s="1"/>
  <c r="E46" i="16"/>
  <c r="E58" i="16" s="1"/>
  <c r="E42" i="16"/>
  <c r="E54" i="16" s="1"/>
  <c r="R41" i="16"/>
  <c r="R53" i="16" s="1"/>
  <c r="N41" i="16"/>
  <c r="N53" i="16" s="1"/>
  <c r="M41" i="16"/>
  <c r="M53" i="16" s="1"/>
  <c r="K41" i="16"/>
  <c r="K53" i="16" s="1"/>
  <c r="I41" i="16"/>
  <c r="I53" i="16" s="1"/>
  <c r="E41" i="16"/>
  <c r="E53" i="16" s="1"/>
  <c r="E36" i="16"/>
  <c r="E48" i="16" s="1"/>
  <c r="L9" i="16" l="1"/>
  <c r="M9" i="16" s="1"/>
  <c r="L10" i="16"/>
  <c r="M10" i="16" s="1"/>
  <c r="N28" i="19" l="1"/>
  <c r="N27" i="19"/>
  <c r="N26" i="19"/>
  <c r="N25" i="19"/>
  <c r="N24" i="19"/>
  <c r="N23" i="19"/>
  <c r="U140" i="28" l="1"/>
  <c r="AJ140" i="28"/>
  <c r="C148" i="28"/>
  <c r="U148" i="28" s="1"/>
  <c r="Q149" i="28" s="1"/>
  <c r="L149" i="28" l="1"/>
  <c r="D149" i="28"/>
  <c r="N149" i="28"/>
  <c r="P149" i="28"/>
  <c r="K149" i="28"/>
  <c r="C149" i="28"/>
  <c r="G149" i="28"/>
  <c r="R149" i="28"/>
  <c r="J149" i="28"/>
  <c r="M149" i="28"/>
  <c r="F149" i="28"/>
  <c r="O149" i="28"/>
  <c r="E149" i="28"/>
</calcChain>
</file>

<file path=xl/sharedStrings.xml><?xml version="1.0" encoding="utf-8"?>
<sst xmlns="http://schemas.openxmlformats.org/spreadsheetml/2006/main" count="2773" uniqueCount="478">
  <si>
    <t>units:</t>
  </si>
  <si>
    <t>comment:</t>
  </si>
  <si>
    <t>Crops</t>
  </si>
  <si>
    <t>ncrop</t>
  </si>
  <si>
    <t>aIrrgLoss</t>
  </si>
  <si>
    <t>aIrrgCost</t>
  </si>
  <si>
    <t>$/m³</t>
  </si>
  <si>
    <t>%</t>
  </si>
  <si>
    <t>-</t>
  </si>
  <si>
    <t>$/t</t>
  </si>
  <si>
    <t>rice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</si>
  <si>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</si>
  <si>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</si>
  <si>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</si>
  <si>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</si>
  <si>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</si>
  <si>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</si>
  <si>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</si>
  <si>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</si>
  <si>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</si>
  <si>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</si>
  <si>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</si>
  <si>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</si>
  <si>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</si>
  <si>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</si>
  <si>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</si>
  <si>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</si>
  <si>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</si>
  <si>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</si>
  <si>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</si>
  <si>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</si>
  <si>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</si>
  <si>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</si>
  <si>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</si>
  <si>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</si>
  <si>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</si>
  <si>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</si>
  <si>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</si>
  <si>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</si>
  <si>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</si>
  <si>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</si>
  <si>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#Water loss rate from allocated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</si>
  <si>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</si>
  <si>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</si>
  <si>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</si>
  <si>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</si>
  <si>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</si>
  <si>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</si>
  <si>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</si>
  <si>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</si>
  <si>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</si>
  <si>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</si>
  <si>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</si>
  <si>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</si>
  <si>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</si>
  <si>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</si>
  <si>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</si>
  <si>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</si>
  <si>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</si>
  <si>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</si>
  <si>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</si>
  <si>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</si>
  <si>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</si>
  <si>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</si>
  <si>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</si>
  <si>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</si>
  <si>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</si>
  <si>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</si>
  <si>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</si>
  <si>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</si>
  <si>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ZambeziDelta</t>
  </si>
  <si>
    <t>Tete</t>
  </si>
  <si>
    <t>LakeMalawi</t>
  </si>
  <si>
    <t>Mupata</t>
  </si>
  <si>
    <t>Luangwa</t>
  </si>
  <si>
    <t>Kariba</t>
  </si>
  <si>
    <t>Cuando</t>
  </si>
  <si>
    <t>Baroste</t>
  </si>
  <si>
    <t>Luanginga</t>
  </si>
  <si>
    <t>Lungue</t>
  </si>
  <si>
    <t>UpperZambezi</t>
  </si>
  <si>
    <t>Kabompo</t>
  </si>
  <si>
    <t>FzDelta</t>
  </si>
  <si>
    <t>FzTete</t>
  </si>
  <si>
    <t>FzMupata</t>
  </si>
  <si>
    <t>FzLuangwa</t>
  </si>
  <si>
    <t>FzKariba</t>
  </si>
  <si>
    <t>FzKafue</t>
  </si>
  <si>
    <t>FzCuando</t>
  </si>
  <si>
    <t>FzBaroste</t>
  </si>
  <si>
    <t>FzLuanginga</t>
  </si>
  <si>
    <t>FzLungue</t>
  </si>
  <si>
    <t>FzUpperZambezi</t>
  </si>
  <si>
    <t>FzKabompo</t>
  </si>
  <si>
    <t>Mozambique</t>
  </si>
  <si>
    <t>Malawi</t>
  </si>
  <si>
    <t>Zambia</t>
  </si>
  <si>
    <t>Zimbabwe</t>
  </si>
  <si>
    <t>Angola</t>
  </si>
  <si>
    <t>SumMaize</t>
  </si>
  <si>
    <t>WinWheat</t>
  </si>
  <si>
    <t>Vegetables</t>
  </si>
  <si>
    <t>Sugarcane</t>
  </si>
  <si>
    <t>Soybeans</t>
  </si>
  <si>
    <t>SumRice</t>
  </si>
  <si>
    <t>WinRice</t>
  </si>
  <si>
    <t>maize</t>
  </si>
  <si>
    <t>vegetable</t>
  </si>
  <si>
    <t>sugarcane</t>
  </si>
  <si>
    <t>CmAngola</t>
  </si>
  <si>
    <t>CmBotswana</t>
  </si>
  <si>
    <t>CmMalawi</t>
  </si>
  <si>
    <t>CmMozambique</t>
  </si>
  <si>
    <t>CmTanzania</t>
  </si>
  <si>
    <t>CmZimbabwe</t>
  </si>
  <si>
    <t>http://www.fao.org/docrep/016/i2800e/i2800e.pdf</t>
  </si>
  <si>
    <t>http://www.fao.org/faostat/en/#data/QC</t>
  </si>
  <si>
    <t>http://www.grainsa.co.za/images/Articles/2012-03/wheat_03.jpg</t>
  </si>
  <si>
    <t>#Farm types</t>
  </si>
  <si>
    <t>Update</t>
  </si>
  <si>
    <t>FdYearRice</t>
  </si>
  <si>
    <t>FdWheatMaize</t>
  </si>
  <si>
    <t>FdYearSugar</t>
  </si>
  <si>
    <t>FdVegeMaize</t>
  </si>
  <si>
    <t>FdSumRice</t>
  </si>
  <si>
    <t>FdSumMaize</t>
  </si>
  <si>
    <t>REM: use equiped area insted of irrigated to avoid double count</t>
  </si>
  <si>
    <t>CmZambia</t>
  </si>
  <si>
    <t>http://www.fao.org/land-water/databases-and-software/crop-information/maize/en/</t>
  </si>
  <si>
    <t>Info on crops</t>
  </si>
  <si>
    <t>http://www.fao.org/faostat/en/#data/TP</t>
  </si>
  <si>
    <t>FzLakeMalawiTAZ</t>
  </si>
  <si>
    <t>FzLakeMalawiMLW</t>
  </si>
  <si>
    <t>Tanzania</t>
  </si>
  <si>
    <t>Main cultures: World bank report 3 p103</t>
  </si>
  <si>
    <t>source: world bank vol 4 p 116</t>
  </si>
  <si>
    <t>aKc</t>
  </si>
  <si>
    <t>KafueUp</t>
  </si>
  <si>
    <t>fzone_type</t>
  </si>
  <si>
    <t>SOURCES</t>
  </si>
  <si>
    <t>EXTRA CALCULATIONS/DATA</t>
  </si>
  <si>
    <t>NO SOURCE</t>
  </si>
  <si>
    <t>base</t>
  </si>
  <si>
    <t>Scenario</t>
  </si>
  <si>
    <t>ObsWaterCons</t>
  </si>
  <si>
    <t>#Observed net water abstraction</t>
  </si>
  <si>
    <t>OnlyCols</t>
  </si>
  <si>
    <t>cassava</t>
  </si>
  <si>
    <t>fruits</t>
  </si>
  <si>
    <t>pulses</t>
  </si>
  <si>
    <t>roots</t>
  </si>
  <si>
    <t>oilseeds</t>
  </si>
  <si>
    <t>stimulants</t>
  </si>
  <si>
    <t>Fruits</t>
  </si>
  <si>
    <t>Sorghum</t>
  </si>
  <si>
    <t>Beans</t>
  </si>
  <si>
    <t>Stimulants</t>
  </si>
  <si>
    <t>Cassava</t>
  </si>
  <si>
    <t>FdStimulants</t>
  </si>
  <si>
    <t>FdFruits</t>
  </si>
  <si>
    <t>FdSorgBean</t>
  </si>
  <si>
    <t>FdSoybeans</t>
  </si>
  <si>
    <t>http://www.fao.org/docrep/X0490E/x0490e0b.htm</t>
  </si>
  <si>
    <t>FdCassava</t>
  </si>
  <si>
    <t>FdSorghum</t>
  </si>
  <si>
    <t>Yields</t>
  </si>
  <si>
    <t>IrrTanzania</t>
  </si>
  <si>
    <t>IrrAngola</t>
  </si>
  <si>
    <t>IrrZimbabwe</t>
  </si>
  <si>
    <t>IrrZambia</t>
  </si>
  <si>
    <t>IrrMalawi</t>
  </si>
  <si>
    <t>IrrMozambique</t>
  </si>
  <si>
    <t>RnTanzania</t>
  </si>
  <si>
    <t>RnAngola</t>
  </si>
  <si>
    <t>RnZimbabwe</t>
  </si>
  <si>
    <t>RnZambia</t>
  </si>
  <si>
    <t>RnMalawi</t>
  </si>
  <si>
    <t>RnMozambique</t>
  </si>
  <si>
    <t>Farm types</t>
  </si>
  <si>
    <t>#Irrigation</t>
  </si>
  <si>
    <t>FarmTypes</t>
  </si>
  <si>
    <t>WinMaize</t>
  </si>
  <si>
    <t>Groundnut</t>
  </si>
  <si>
    <t>FdYearMaize</t>
  </si>
  <si>
    <t>Potato</t>
  </si>
  <si>
    <t>FdPotato</t>
  </si>
  <si>
    <t>FdPotatoNut</t>
  </si>
  <si>
    <t>FdSoyWheat</t>
  </si>
  <si>
    <t>cereals</t>
  </si>
  <si>
    <t>Botswana</t>
  </si>
  <si>
    <t>=average of other countires because of missing data</t>
  </si>
  <si>
    <t>CulCost</t>
  </si>
  <si>
    <t>ReturnFlows</t>
  </si>
  <si>
    <t>Average</t>
  </si>
  <si>
    <t>Maize</t>
  </si>
  <si>
    <t>Rice</t>
  </si>
  <si>
    <t>https://stats.oecd.org/viewhtml.aspx?datasetcode=HIGH_AGLINK_2016&amp;lang=en</t>
  </si>
  <si>
    <t>wheat</t>
  </si>
  <si>
    <t>subsahara</t>
  </si>
  <si>
    <t xml:space="preserve">REM: </t>
  </si>
  <si>
    <t>average</t>
  </si>
  <si>
    <t>strange wheat yield for zambia</t>
  </si>
  <si>
    <t>othergrain</t>
  </si>
  <si>
    <t>find data average crop used otherwise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</si>
  <si>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</si>
  <si>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</si>
  <si>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</si>
  <si>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</si>
  <si>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</si>
  <si>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</si>
  <si>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</si>
  <si>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</si>
  <si>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MaxCultureArea</t>
  </si>
  <si>
    <t>aCulMax</t>
  </si>
  <si>
    <t xml:space="preserve">REM: most likely in the table p102 Tete(2) and Lake Malawi(3) have been inverted </t>
  </si>
  <si>
    <t>(as otherwise do not fit national stats p 103)</t>
  </si>
  <si>
    <t>Cuando/Chobe</t>
  </si>
  <si>
    <t>Zambezi</t>
  </si>
  <si>
    <t>Lungúe</t>
  </si>
  <si>
    <t>Barotse</t>
  </si>
  <si>
    <t>Kafue</t>
  </si>
  <si>
    <t>TOTAL</t>
  </si>
  <si>
    <t>Other</t>
  </si>
  <si>
    <t>Tea</t>
  </si>
  <si>
    <t>Coffee</t>
  </si>
  <si>
    <t>Citrus</t>
  </si>
  <si>
    <t>Banana</t>
  </si>
  <si>
    <t>Pasture</t>
  </si>
  <si>
    <t>Cotton</t>
  </si>
  <si>
    <t>Tobacco</t>
  </si>
  <si>
    <t>Irrigated</t>
  </si>
  <si>
    <t>Equipped</t>
  </si>
  <si>
    <t>Total</t>
  </si>
  <si>
    <t>Winter wheat</t>
  </si>
  <si>
    <t>Winter rice</t>
  </si>
  <si>
    <t>Winter maize</t>
  </si>
  <si>
    <t>Winter cotton</t>
  </si>
  <si>
    <t>PROCESSED</t>
  </si>
  <si>
    <t>OTHER</t>
  </si>
  <si>
    <t>=OTHER/3</t>
  </si>
  <si>
    <t>FOR EXCEL DATA</t>
  </si>
  <si>
    <t>PRESENT SCENARIO - BRUT DATA</t>
  </si>
  <si>
    <t>cotton</t>
  </si>
  <si>
    <t>Tete and lake malawi inverted in WB report (probably) BUT NOT IN IRRIG DEV SCENARIOS</t>
  </si>
  <si>
    <t>IRRIG DEV SCENARIO - BRUT DATA - ADDITIONAL (ha)</t>
  </si>
  <si>
    <t>HIGH IRRIG DEV SCENARIO - BRUT DATA - ADDITIONAL (ha)</t>
  </si>
  <si>
    <t>highdev</t>
  </si>
  <si>
    <t>BASE</t>
  </si>
  <si>
    <t>IRRDEV</t>
  </si>
  <si>
    <t>HIGHDEV</t>
  </si>
  <si>
    <t>EQUIPED AREA</t>
  </si>
  <si>
    <t>5,2 10^6 ha</t>
  </si>
  <si>
    <t>World bank vol 3 p100</t>
  </si>
  <si>
    <t xml:space="preserve">Total water abstraction for agriculture </t>
  </si>
  <si>
    <t>3,234 10^6 m³</t>
  </si>
  <si>
    <t>World bank vol 3 p104 (also per catchment)</t>
  </si>
  <si>
    <t>irrdev</t>
  </si>
  <si>
    <t>Fields:</t>
  </si>
  <si>
    <t xml:space="preserve">Winter maize </t>
  </si>
  <si>
    <t>+</t>
  </si>
  <si>
    <t>soybeans</t>
  </si>
  <si>
    <t>sorghum</t>
  </si>
  <si>
    <t>WB vol 4 p59</t>
  </si>
  <si>
    <t>kariba Botswana (kariba)</t>
  </si>
  <si>
    <t>LowerShire=lakemalawidown (lakemalawi)</t>
  </si>
  <si>
    <t>CahoraBassa(Tete)</t>
  </si>
  <si>
    <t>MphandaNkuwa (Tete)</t>
  </si>
  <si>
    <t>kafueUp (Kafue)</t>
  </si>
  <si>
    <t>obs in kafue Up</t>
  </si>
  <si>
    <t>Harare=Manyane(Tete)</t>
  </si>
  <si>
    <t>TeteZIM=Luenya (Tete)</t>
  </si>
  <si>
    <t>TeteZIM=luenya (Tete)</t>
  </si>
  <si>
    <t>FzKaribaBOT</t>
  </si>
  <si>
    <t>FzLowerShire</t>
  </si>
  <si>
    <t>FzKafueUp</t>
  </si>
  <si>
    <t>FzHarare</t>
  </si>
  <si>
    <t>FzTeteZIM</t>
  </si>
  <si>
    <t xml:space="preserve"> (THIS IS NOT ORIGINAL DATA ,IT WAS INVERTED !!!!!!!!!!!!!!!!!!!!!!!!!!!!!</t>
  </si>
  <si>
    <t>Corrected data to match observed</t>
  </si>
  <si>
    <t>Ratio LowerShire/LakeMalawiMLW</t>
  </si>
  <si>
    <t>LandCap</t>
  </si>
  <si>
    <t>KafueFlat</t>
  </si>
  <si>
    <t>Harare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</si>
  <si>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</si>
  <si>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</si>
  <si>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</si>
  <si>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</si>
  <si>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</si>
  <si>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</si>
  <si>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</si>
  <si>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RFCuando</t>
  </si>
  <si>
    <t>RFBaroste</t>
  </si>
  <si>
    <t>RFLungue</t>
  </si>
  <si>
    <t>RFLuanginga</t>
  </si>
  <si>
    <t>RFUpperZambezi</t>
  </si>
  <si>
    <t>RFKabompo</t>
  </si>
  <si>
    <t>RFKaribaBOT</t>
  </si>
  <si>
    <t>RFLowerShire</t>
  </si>
  <si>
    <t>RFKafueUp</t>
  </si>
  <si>
    <t>RFHarare</t>
  </si>
  <si>
    <t>LowerShire</t>
  </si>
  <si>
    <t>Alternative Yield response path matrix (aYieldMat)</t>
  </si>
  <si>
    <t>Irrigated (ha)</t>
  </si>
  <si>
    <t>FzKafueFlat</t>
  </si>
  <si>
    <t>Rainfed (net ha)</t>
  </si>
  <si>
    <t>RF</t>
  </si>
  <si>
    <t>RFKafueFlat</t>
  </si>
  <si>
    <t>Growth</t>
  </si>
  <si>
    <t>Years</t>
  </si>
  <si>
    <t>FzMazowe</t>
  </si>
  <si>
    <t>Mazowe</t>
  </si>
  <si>
    <t>RFMazowe</t>
  </si>
  <si>
    <t>FdMaizeSorg</t>
  </si>
  <si>
    <t>FdMaizeSoy</t>
  </si>
  <si>
    <t>FdPotatoBean</t>
  </si>
  <si>
    <t>FdRiceMaize</t>
  </si>
  <si>
    <t>FdNutMaize</t>
  </si>
  <si>
    <t>FdVegeBeans</t>
  </si>
  <si>
    <t>FdCassavaNut</t>
  </si>
  <si>
    <t>FdCassavaWheat</t>
  </si>
  <si>
    <t>http://www.fao.org/land-water/databases-and-software/crop-information/</t>
  </si>
  <si>
    <t>$/ha</t>
  </si>
  <si>
    <t>nmaxarea</t>
  </si>
  <si>
    <t>nYIELD</t>
  </si>
  <si>
    <t>FdSorgVege</t>
  </si>
  <si>
    <t>irrdev_nm</t>
  </si>
  <si>
    <t>base_nm</t>
  </si>
  <si>
    <t>irrdev_norep</t>
  </si>
  <si>
    <t>fzone_cmarket</t>
  </si>
  <si>
    <t>base_2030</t>
  </si>
  <si>
    <t>irrdev_2030</t>
  </si>
  <si>
    <t>highdev_2030</t>
  </si>
  <si>
    <t>future2030</t>
  </si>
  <si>
    <t>amaiz</t>
  </si>
  <si>
    <t>asorg</t>
  </si>
  <si>
    <t>arice</t>
  </si>
  <si>
    <t>apuls</t>
  </si>
  <si>
    <t>agnut</t>
  </si>
  <si>
    <t>acass</t>
  </si>
  <si>
    <t>aroot</t>
  </si>
  <si>
    <t>avege</t>
  </si>
  <si>
    <t>asugr</t>
  </si>
  <si>
    <t>atoba</t>
  </si>
  <si>
    <t>afrui</t>
  </si>
  <si>
    <t>MOZ_with_Labour</t>
  </si>
  <si>
    <t>awhea</t>
  </si>
  <si>
    <t>MAL_with_Labour</t>
  </si>
  <si>
    <t>MOZ_noLabour</t>
  </si>
  <si>
    <t>MAL_noLabour</t>
  </si>
  <si>
    <t>SAM MATRIX</t>
  </si>
  <si>
    <t>MOZ_noUneducated</t>
  </si>
  <si>
    <t>MAL-noUndeducated</t>
  </si>
  <si>
    <t>AVERAGE</t>
  </si>
  <si>
    <t>noUneducated</t>
  </si>
  <si>
    <t>noLabour</t>
  </si>
  <si>
    <t>nculcostscenario</t>
  </si>
  <si>
    <t>nolabour</t>
  </si>
  <si>
    <t>withLabour</t>
  </si>
  <si>
    <t>withlabour</t>
  </si>
  <si>
    <t>SumBeans</t>
  </si>
  <si>
    <t>WinBeans</t>
  </si>
  <si>
    <t>FdSumBeans</t>
  </si>
  <si>
    <t>future2050</t>
  </si>
  <si>
    <t>Rainfed (net ha) corrected to 5.2</t>
  </si>
  <si>
    <t>Rainfed agriculture</t>
  </si>
  <si>
    <t>base_2050</t>
  </si>
  <si>
    <t>irrdev_2050</t>
  </si>
  <si>
    <t>tobacco</t>
  </si>
  <si>
    <t>FdTobacco</t>
  </si>
  <si>
    <t>growth</t>
  </si>
  <si>
    <t>av</t>
  </si>
  <si>
    <t>Mm³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</si>
  <si>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</si>
  <si>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</si>
  <si>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</si>
  <si>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</si>
  <si>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</si>
  <si>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>aIrrgLoss: Zambezi world bank vol 4: p118</t>
  </si>
  <si>
    <t>aLandCap: IFPRI SPAM data (https://harvestchoice.org/products/data)</t>
  </si>
  <si>
    <t>REM: Kariba and Mupata are considered as only part of Zimbabwe as infact 90% of irrigated land belongs Zimbabwe</t>
  </si>
  <si>
    <t>Other:</t>
  </si>
  <si>
    <t>#SCENARIOS</t>
  </si>
  <si>
    <t xml:space="preserve">aLandCap in 2030, 2050: OECD/FAO data (https://stats.oecd.org/viewhtml.aspx?datasetcode=HIGH_AGLINK_2016&amp;lang=en) </t>
  </si>
  <si>
    <t>Import and export value:</t>
  </si>
  <si>
    <t xml:space="preserve">Growth rate (-/year) OECD DATA </t>
  </si>
  <si>
    <t>Yield growth probably includes development of irrigation</t>
  </si>
  <si>
    <t>REM: We consider two farm types per country: Rainfed and Irrigated</t>
  </si>
  <si>
    <t>This is to represent different yields, cultivation costs …</t>
  </si>
  <si>
    <t>https://www.ifpri.org/publications?keyword=Social+accounting+matrix&amp;ss_search_author=&amp;sm_content_subtype_to_terms=All&amp;sort_by=ds_year</t>
  </si>
  <si>
    <t>Total economic flows divided by total cultivated area the corresponding year</t>
  </si>
  <si>
    <t>Averaged for all countries</t>
  </si>
  <si>
    <t xml:space="preserve">Hard coded: nmix is from 1 to n </t>
  </si>
  <si>
    <t>some informations: WB vol 4 p 54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</si>
  <si>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</si>
  <si>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</si>
  <si>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</si>
  <si>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</si>
  <si>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REM:</t>
  </si>
  <si>
    <t>kY: yield water response coefficient FAO 33</t>
  </si>
  <si>
    <t xml:space="preserve">http://www.fao.org/land-water/databases-and-software/crop-information/en/ 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</si>
  <si>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</si>
  <si>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</si>
  <si>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</si>
  <si>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</si>
  <si>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</si>
  <si>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</si>
  <si>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</si>
  <si>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</si>
  <si>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99: dummy parameter for no constraint</t>
  </si>
  <si>
    <t>The remaining area (non represented crops) is shared among these crops</t>
  </si>
  <si>
    <t xml:space="preserve">https://harvestchoice.org/products/data </t>
  </si>
  <si>
    <t>Alternative source (for existing area) :</t>
  </si>
  <si>
    <t>FdGroundnut</t>
  </si>
  <si>
    <t>FdVegetables</t>
  </si>
  <si>
    <t>FdWinWheat</t>
  </si>
  <si>
    <t>Collection of cultures within a year, representing multiple crops per year</t>
  </si>
  <si>
    <t>SAM matrices for Mozamique and Malawi combined with FAOstat data</t>
  </si>
  <si>
    <t xml:space="preserve">REM: All combinations that make sense calendar wise </t>
  </si>
  <si>
    <t>binary</t>
  </si>
  <si>
    <t>t/ha</t>
  </si>
  <si>
    <t>Growth phases of the different cultures</t>
  </si>
  <si>
    <t>Cassava assumed same as potato for Ky, as no data found</t>
  </si>
  <si>
    <t>kY: FAO 66 p 12</t>
  </si>
  <si>
    <t>land costs might be excluded as the model represents an internal market for agricultural land</t>
  </si>
  <si>
    <t>uneducated labour costs could be excluded as no alternative activity exists for this labour</t>
  </si>
  <si>
    <t>Source: World Bank (2010), vol 3, p102-103</t>
  </si>
  <si>
    <t>REM: No maximum area is defined for Sorghum and Maize as these are among the less profitable cultures</t>
  </si>
  <si>
    <t>GrowthPhases</t>
  </si>
  <si>
    <t>aLandCap Irrigation projects: World Bank (2010), vol 4, p 105</t>
  </si>
  <si>
    <t>Land growth rate (multiplicative factor/year)</t>
  </si>
  <si>
    <t>aLandCap: World Bank (2010), vol 3, p102 (REM:Tete and Lake Malawi are exchanged)</t>
  </si>
  <si>
    <t>aIrrigCost: No Source</t>
  </si>
  <si>
    <t>OECD/FAO data</t>
  </si>
  <si>
    <t>invest</t>
  </si>
  <si>
    <t>iFzDelta</t>
  </si>
  <si>
    <t>iFzTete</t>
  </si>
  <si>
    <t>iFzLakeMalawiMLW</t>
  </si>
  <si>
    <t>iFzLakeMalawiTAZ</t>
  </si>
  <si>
    <t>iFzMupata</t>
  </si>
  <si>
    <t>iFzLuangwa</t>
  </si>
  <si>
    <t>iFzKariba</t>
  </si>
  <si>
    <t>iFzKafueFlat</t>
  </si>
  <si>
    <t>iFzCuando</t>
  </si>
  <si>
    <t>iFzBaroste</t>
  </si>
  <si>
    <t>iFzLuanginga</t>
  </si>
  <si>
    <t>iFzLungue</t>
  </si>
  <si>
    <t>iFzUpperZambezi</t>
  </si>
  <si>
    <t>iFzKabompo</t>
  </si>
  <si>
    <t>iFzKaribaBOT</t>
  </si>
  <si>
    <t>iFzLowerShire</t>
  </si>
  <si>
    <t>iFzKafueUp</t>
  </si>
  <si>
    <t>iFzHarare</t>
  </si>
  <si>
    <t>iFzMazowe</t>
  </si>
  <si>
    <t>invest_2030</t>
  </si>
  <si>
    <t>sFarmingzone</t>
  </si>
  <si>
    <t>sYield</t>
  </si>
  <si>
    <t>sCulCost</t>
  </si>
  <si>
    <t>sMaxArea</t>
  </si>
  <si>
    <t>Land capacity of Farming Zones</t>
  </si>
  <si>
    <t>REM: Land capacity of farming zone sin separate sheet</t>
  </si>
  <si>
    <t>FarmingZonesLandCap</t>
  </si>
  <si>
    <t>sLandCap</t>
  </si>
  <si>
    <t>akY</t>
  </si>
  <si>
    <t>aYieldMat</t>
  </si>
  <si>
    <t>SCEN_fzone</t>
  </si>
  <si>
    <t>SCEN_fzonecap</t>
  </si>
  <si>
    <t>Growth Phases, with yield factor (kY)</t>
  </si>
  <si>
    <t>KcDRAFT</t>
  </si>
  <si>
    <t>#Crop specific coefficient NOT IN USE</t>
  </si>
  <si>
    <t>this crop coefficient is multiplied by the PhaseMonth</t>
  </si>
  <si>
    <t>parameter</t>
  </si>
  <si>
    <t>CropCoefficient</t>
  </si>
  <si>
    <t>Crop Coefficient (aKc)</t>
  </si>
  <si>
    <t>FAO 56 crop coefficient (Kc)</t>
  </si>
  <si>
    <t>PhaseMonth (aPhaseMonth)</t>
  </si>
  <si>
    <t>http://www.fao.org/nr/water/aquastat/water_use_agr/index2.stm</t>
  </si>
  <si>
    <t>Crop calender and area per country:</t>
  </si>
  <si>
    <t>1000ha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</si>
</sst>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#,##0.0"/>
    <numFmt numFmtId="167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0" fillId="3" borderId="7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11" xfId="0" applyBorder="1"/>
    <xf numFmtId="0" fontId="0" fillId="0" borderId="10" xfId="0" applyBorder="1"/>
    <xf numFmtId="0" fontId="0" fillId="0" borderId="7" xfId="0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2" fontId="0" fillId="0" borderId="7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5" borderId="12" xfId="0" applyFill="1" applyBorder="1"/>
    <xf numFmtId="0" fontId="0" fillId="6" borderId="0" xfId="0" applyFill="1"/>
    <xf numFmtId="0" fontId="0" fillId="7" borderId="0" xfId="0" applyFill="1" applyBorder="1"/>
    <xf numFmtId="0" fontId="0" fillId="2" borderId="12" xfId="0" applyFill="1" applyBorder="1"/>
    <xf numFmtId="0" fontId="1" fillId="0" borderId="12" xfId="0" applyFont="1" applyBorder="1"/>
    <xf numFmtId="0" fontId="1" fillId="0" borderId="12" xfId="0" applyFont="1" applyFill="1" applyBorder="1"/>
    <xf numFmtId="0" fontId="0" fillId="7" borderId="12" xfId="0" applyFill="1" applyBorder="1"/>
    <xf numFmtId="0" fontId="0" fillId="0" borderId="12" xfId="0" applyBorder="1"/>
    <xf numFmtId="0" fontId="0" fillId="0" borderId="12" xfId="0" applyFill="1" applyBorder="1"/>
    <xf numFmtId="165" fontId="0" fillId="0" borderId="0" xfId="0" applyNumberFormat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2" xfId="0" applyNumberFormat="1" applyBorder="1"/>
    <xf numFmtId="0" fontId="0" fillId="0" borderId="1" xfId="0" applyFill="1" applyBorder="1"/>
    <xf numFmtId="1" fontId="0" fillId="0" borderId="5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0" xfId="0" quotePrefix="1"/>
    <xf numFmtId="1" fontId="0" fillId="0" borderId="3" xfId="0" applyNumberFormat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0" fontId="1" fillId="0" borderId="12" xfId="0" applyFont="1" applyBorder="1" applyAlignment="1">
      <alignment horizontal="left"/>
    </xf>
    <xf numFmtId="2" fontId="0" fillId="4" borderId="0" xfId="0" applyNumberFormat="1" applyFill="1" applyBorder="1"/>
    <xf numFmtId="2" fontId="0" fillId="4" borderId="2" xfId="0" applyNumberFormat="1" applyFill="1" applyBorder="1"/>
    <xf numFmtId="164" fontId="0" fillId="4" borderId="0" xfId="0" applyNumberFormat="1" applyFill="1"/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164" fontId="0" fillId="0" borderId="7" xfId="0" applyNumberFormat="1" applyFill="1" applyBorder="1"/>
    <xf numFmtId="0" fontId="0" fillId="0" borderId="7" xfId="0" applyNumberFormat="1" applyFill="1" applyBorder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9" fontId="0" fillId="0" borderId="0" xfId="2" applyFont="1"/>
    <xf numFmtId="164" fontId="0" fillId="0" borderId="7" xfId="0" applyNumberFormat="1" applyBorder="1"/>
    <xf numFmtId="0" fontId="7" fillId="4" borderId="0" xfId="1" quotePrefix="1" applyFont="1" applyFill="1"/>
    <xf numFmtId="0" fontId="0" fillId="7" borderId="0" xfId="0" applyFill="1"/>
    <xf numFmtId="0" fontId="0" fillId="7" borderId="7" xfId="0" applyFill="1" applyBorder="1"/>
    <xf numFmtId="0" fontId="0" fillId="6" borderId="7" xfId="0" applyFill="1" applyBorder="1"/>
    <xf numFmtId="0" fontId="1" fillId="0" borderId="0" xfId="0" applyFont="1"/>
    <xf numFmtId="0" fontId="0" fillId="6" borderId="0" xfId="0" applyFill="1" applyBorder="1"/>
    <xf numFmtId="0" fontId="1" fillId="3" borderId="0" xfId="0" applyFon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164" fontId="0" fillId="9" borderId="0" xfId="0" applyNumberFormat="1" applyFill="1"/>
    <xf numFmtId="0" fontId="0" fillId="9" borderId="0" xfId="0" applyFill="1" applyBorder="1"/>
    <xf numFmtId="164" fontId="0" fillId="8" borderId="0" xfId="0" applyNumberFormat="1" applyFill="1"/>
    <xf numFmtId="167" fontId="0" fillId="3" borderId="0" xfId="0" applyNumberFormat="1" applyFill="1" applyBorder="1"/>
    <xf numFmtId="167" fontId="0" fillId="10" borderId="0" xfId="0" applyNumberFormat="1" applyFill="1" applyBorder="1"/>
    <xf numFmtId="0" fontId="0" fillId="8" borderId="7" xfId="0" applyFill="1" applyBorder="1"/>
    <xf numFmtId="164" fontId="0" fillId="0" borderId="0" xfId="0" applyNumberFormat="1" applyBorder="1"/>
    <xf numFmtId="0" fontId="0" fillId="0" borderId="0" xfId="0" applyFont="1" applyFill="1" applyBorder="1"/>
    <xf numFmtId="3" fontId="0" fillId="0" borderId="0" xfId="0" applyNumberFormat="1"/>
    <xf numFmtId="1" fontId="1" fillId="0" borderId="0" xfId="0" applyNumberFormat="1" applyFont="1"/>
    <xf numFmtId="0" fontId="0" fillId="4" borderId="12" xfId="0" applyFill="1" applyBorder="1"/>
    <xf numFmtId="0" fontId="0" fillId="4" borderId="0" xfId="0" quotePrefix="1" applyFill="1"/>
    <xf numFmtId="0" fontId="0" fillId="11" borderId="0" xfId="0" applyFill="1"/>
    <xf numFmtId="0" fontId="1" fillId="10" borderId="0" xfId="0" applyFont="1" applyFill="1"/>
    <xf numFmtId="0" fontId="0" fillId="10" borderId="0" xfId="0" applyFill="1"/>
    <xf numFmtId="3" fontId="0" fillId="10" borderId="0" xfId="0" applyNumberFormat="1" applyFill="1"/>
    <xf numFmtId="0" fontId="1" fillId="12" borderId="0" xfId="0" applyFont="1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5" borderId="12" xfId="0" applyFill="1" applyBorder="1"/>
    <xf numFmtId="0" fontId="1" fillId="15" borderId="0" xfId="0" applyFont="1" applyFill="1"/>
    <xf numFmtId="0" fontId="1" fillId="14" borderId="0" xfId="0" applyFont="1" applyFill="1"/>
    <xf numFmtId="0" fontId="0" fillId="14" borderId="0" xfId="0" applyFont="1" applyFill="1"/>
    <xf numFmtId="3" fontId="0" fillId="14" borderId="0" xfId="0" applyNumberFormat="1" applyFont="1" applyFill="1"/>
    <xf numFmtId="3" fontId="1" fillId="0" borderId="0" xfId="0" applyNumberFormat="1" applyFont="1"/>
    <xf numFmtId="0" fontId="0" fillId="15" borderId="0" xfId="0" applyFill="1" applyBorder="1"/>
    <xf numFmtId="0" fontId="1" fillId="15" borderId="0" xfId="0" applyFont="1" applyFill="1" applyBorder="1"/>
    <xf numFmtId="0" fontId="1" fillId="15" borderId="2" xfId="0" applyFont="1" applyFill="1" applyBorder="1"/>
    <xf numFmtId="0" fontId="0" fillId="15" borderId="2" xfId="0" applyFill="1" applyBorder="1"/>
    <xf numFmtId="0" fontId="0" fillId="8" borderId="0" xfId="0" applyFill="1"/>
    <xf numFmtId="3" fontId="0" fillId="11" borderId="0" xfId="0" applyNumberFormat="1" applyFill="1"/>
    <xf numFmtId="2" fontId="0" fillId="0" borderId="2" xfId="0" applyNumberFormat="1" applyFill="1" applyBorder="1"/>
    <xf numFmtId="0" fontId="5" fillId="3" borderId="0" xfId="1" applyFill="1" applyBorder="1"/>
    <xf numFmtId="0" fontId="0" fillId="10" borderId="12" xfId="0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2" fontId="0" fillId="0" borderId="12" xfId="0" applyNumberFormat="1" applyFill="1" applyBorder="1"/>
    <xf numFmtId="0" fontId="0" fillId="3" borderId="12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10" borderId="7" xfId="0" applyFill="1" applyBorder="1"/>
    <xf numFmtId="1" fontId="0" fillId="16" borderId="0" xfId="0" applyNumberFormat="1" applyFill="1" applyBorder="1"/>
    <xf numFmtId="3" fontId="0" fillId="0" borderId="4" xfId="0" applyNumberFormat="1" applyBorder="1"/>
    <xf numFmtId="3" fontId="0" fillId="16" borderId="4" xfId="0" applyNumberFormat="1" applyFill="1" applyBorder="1"/>
    <xf numFmtId="3" fontId="0" fillId="0" borderId="0" xfId="0" applyNumberFormat="1" applyBorder="1"/>
    <xf numFmtId="1" fontId="0" fillId="0" borderId="0" xfId="0" applyNumberFormat="1" applyFill="1"/>
    <xf numFmtId="1" fontId="0" fillId="0" borderId="7" xfId="0" applyNumberFormat="1" applyFill="1" applyBorder="1"/>
    <xf numFmtId="0" fontId="0" fillId="17" borderId="0" xfId="0" applyFill="1"/>
    <xf numFmtId="0" fontId="0" fillId="12" borderId="12" xfId="0" applyFill="1" applyBorder="1"/>
    <xf numFmtId="1" fontId="0" fillId="0" borderId="12" xfId="0" applyNumberFormat="1" applyFill="1" applyBorder="1"/>
    <xf numFmtId="0" fontId="0" fillId="3" borderId="4" xfId="0" applyFont="1" applyFill="1" applyBorder="1"/>
    <xf numFmtId="0" fontId="5" fillId="0" borderId="4" xfId="1" applyBorder="1"/>
    <xf numFmtId="0" fontId="0" fillId="8" borderId="0" xfId="0" applyFill="1" applyBorder="1"/>
    <xf numFmtId="0" fontId="0" fillId="8" borderId="12" xfId="0" applyFill="1" applyBorder="1"/>
    <xf numFmtId="0" fontId="5" fillId="0" borderId="0" xfId="1" applyBorder="1"/>
    <xf numFmtId="0" fontId="1" fillId="0" borderId="2" xfId="0" applyFont="1" applyFill="1" applyBorder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top"/>
    </xf>
    <xf numFmtId="9" fontId="0" fillId="3" borderId="0" xfId="2" applyFont="1" applyFill="1" applyBorder="1"/>
    <xf numFmtId="164" fontId="0" fillId="3" borderId="0" xfId="0" applyNumberFormat="1" applyFill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0" borderId="7" xfId="0" applyNumberFormat="1" applyFont="1" applyBorder="1"/>
    <xf numFmtId="0" fontId="0" fillId="11" borderId="0" xfId="0" quotePrefix="1" applyFill="1" applyBorder="1"/>
    <xf numFmtId="0" fontId="0" fillId="19" borderId="0" xfId="0" applyFill="1"/>
    <xf numFmtId="0" fontId="0" fillId="19" borderId="0" xfId="0" applyFont="1" applyFill="1"/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2" fillId="3" borderId="4" xfId="0" applyFont="1" applyFill="1" applyBorder="1"/>
    <xf numFmtId="0" fontId="0" fillId="20" borderId="0" xfId="0" applyFill="1"/>
    <xf numFmtId="0" fontId="0" fillId="20" borderId="0" xfId="0" applyFill="1" applyBorder="1"/>
    <xf numFmtId="0" fontId="0" fillId="20" borderId="7" xfId="0" applyFill="1" applyBorder="1"/>
    <xf numFmtId="0" fontId="10" fillId="0" borderId="0" xfId="0" applyNumberFormat="1" applyFont="1" applyFill="1" applyBorder="1" applyAlignment="1" applyProtection="1"/>
    <xf numFmtId="0" fontId="1" fillId="0" borderId="0" xfId="0" applyFont="1" applyBorder="1"/>
    <xf numFmtId="0" fontId="1" fillId="0" borderId="3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2" fontId="10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6" borderId="0" xfId="0" applyFont="1" applyFill="1"/>
    <xf numFmtId="0" fontId="2" fillId="4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/>
    <xf numFmtId="2" fontId="0" fillId="4" borderId="0" xfId="0" applyNumberFormat="1" applyFill="1" applyBorder="1"/>
    <xf numFmtId="0" fontId="0" fillId="0" borderId="0" xfId="0"/>
    <xf numFmtId="0" fontId="0" fillId="0" borderId="7" xfId="0" applyBorder="1"/>
    <xf numFmtId="0" fontId="0" fillId="0" borderId="7" xfId="0" applyFill="1" applyBorder="1"/>
    <xf numFmtId="2" fontId="0" fillId="0" borderId="0" xfId="0" applyNumberFormat="1" applyBorder="1"/>
    <xf numFmtId="2" fontId="0" fillId="0" borderId="7" xfId="0" applyNumberFormat="1" applyBorder="1"/>
    <xf numFmtId="164" fontId="0" fillId="15" borderId="0" xfId="0" applyNumberFormat="1" applyFill="1"/>
    <xf numFmtId="164" fontId="0" fillId="18" borderId="0" xfId="0" applyNumberFormat="1" applyFill="1" applyBorder="1"/>
    <xf numFmtId="164" fontId="0" fillId="0" borderId="12" xfId="0" applyNumberFormat="1" applyBorder="1"/>
  </cellXfs>
  <cellStyles count="3">
    <cellStyle name="Hyperlink" xfId="1" builtinId="8"/>
    <cellStyle name="Normal" xfId="0" builtinId="0"/>
    <cellStyle name="Percent" xfId="2" builtinId="5"/>
  </cellStyles>
  <dxfs count="4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nr/water/aquastat/water_use_agr/index2.stm" TargetMode="External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arvestchoice.org/products/da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faostat/en/" TargetMode="External"/><Relationship Id="rId2" Type="http://schemas.openxmlformats.org/officeDocument/2006/relationships/hyperlink" Target="http://www.fao.org/land-water/databases-and-software/crop-information/maize/en/" TargetMode="External"/><Relationship Id="rId1" Type="http://schemas.openxmlformats.org/officeDocument/2006/relationships/hyperlink" Target="http://www.grainsa.co.za/images/Articles/2012-03/wheat_03.jpg" TargetMode="External"/><Relationship Id="rId5" Type="http://schemas.openxmlformats.org/officeDocument/2006/relationships/hyperlink" Target="http://www.fao.org/docrep/016/i2800e/i2800e.pdf" TargetMode="External"/><Relationship Id="rId4" Type="http://schemas.openxmlformats.org/officeDocument/2006/relationships/hyperlink" Target="http://www.fao.org/faostat/e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s?keyword=Social+accounting+matrix&amp;ss_search_author=&amp;sm_content_subtype_to_terms=All&amp;sort_by=ds_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F14" sqref="F14"/>
    </sheetView>
  </sheetViews>
  <sheetFormatPr defaultRowHeight="11.25" x14ac:dyDescent="0.15"/>
  <cols>
    <col min="2" max="2" width="18.62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6" t="s">
        <v>35</v>
      </c>
    </row>
    <row r="2" spans="1:11" x14ac:dyDescent="0.15">
      <c r="A2" s="5" t="s">
        <v>39</v>
      </c>
    </row>
    <row r="3" spans="1:11" x14ac:dyDescent="0.15">
      <c r="A3" s="5"/>
    </row>
    <row r="4" spans="1:11" x14ac:dyDescent="0.15">
      <c r="A4" s="3" t="s">
        <v>1</v>
      </c>
      <c r="C4" s="4"/>
    </row>
    <row r="5" spans="1:11" x14ac:dyDescent="0.15">
      <c r="A5" s="3" t="s">
        <v>0</v>
      </c>
      <c r="C5" s="2"/>
    </row>
    <row r="6" spans="1:11" x14ac:dyDescent="0.15">
      <c r="A6" s="7" t="s">
        <v>31</v>
      </c>
      <c r="B6" t="s">
        <v>36</v>
      </c>
      <c r="C6" t="s">
        <v>38</v>
      </c>
      <c r="D6" t="s">
        <v>34</v>
      </c>
      <c r="E6" t="s">
        <v>33</v>
      </c>
      <c r="F6" t="s">
        <v>143</v>
      </c>
      <c r="G6" t="s">
        <v>32</v>
      </c>
      <c r="H6" t="s">
        <v>37</v>
      </c>
      <c r="I6" t="s">
        <v>55</v>
      </c>
      <c r="J6" t="s">
        <v>119</v>
      </c>
      <c r="K6" t="s">
        <v>146</v>
      </c>
    </row>
    <row r="7" spans="1:11" x14ac:dyDescent="0.15">
      <c r="A7" s="1">
        <v>1</v>
      </c>
      <c r="B7" t="s">
        <v>63</v>
      </c>
      <c r="C7">
        <v>21</v>
      </c>
      <c r="D7" s="8">
        <v>2</v>
      </c>
      <c r="E7">
        <v>1</v>
      </c>
      <c r="F7" t="s">
        <v>454</v>
      </c>
      <c r="J7">
        <v>1</v>
      </c>
    </row>
    <row r="8" spans="1:11" x14ac:dyDescent="0.15">
      <c r="A8" s="1">
        <v>2</v>
      </c>
      <c r="B8" t="s">
        <v>460</v>
      </c>
      <c r="C8">
        <v>21</v>
      </c>
      <c r="D8" s="8">
        <v>2</v>
      </c>
      <c r="E8">
        <v>1</v>
      </c>
      <c r="F8" t="s">
        <v>461</v>
      </c>
      <c r="J8">
        <v>1</v>
      </c>
    </row>
    <row r="9" spans="1:11" x14ac:dyDescent="0.15">
      <c r="A9" s="1">
        <v>3</v>
      </c>
      <c r="B9" t="s">
        <v>2</v>
      </c>
      <c r="C9">
        <v>21</v>
      </c>
      <c r="D9" s="8">
        <v>1</v>
      </c>
      <c r="E9">
        <v>1</v>
      </c>
      <c r="J9">
        <v>1</v>
      </c>
    </row>
    <row r="10" spans="1:11" x14ac:dyDescent="0.15">
      <c r="A10" s="1">
        <v>4</v>
      </c>
      <c r="B10" t="s">
        <v>28</v>
      </c>
      <c r="C10">
        <v>21</v>
      </c>
      <c r="D10">
        <v>1</v>
      </c>
      <c r="E10">
        <v>1</v>
      </c>
      <c r="J10">
        <v>1</v>
      </c>
    </row>
    <row r="11" spans="1:11" x14ac:dyDescent="0.15">
      <c r="A11" s="1">
        <v>5</v>
      </c>
      <c r="B11" t="s">
        <v>29</v>
      </c>
      <c r="C11">
        <v>21</v>
      </c>
      <c r="D11">
        <v>2</v>
      </c>
      <c r="E11">
        <v>1</v>
      </c>
      <c r="G11" t="s">
        <v>56</v>
      </c>
      <c r="J11">
        <v>1</v>
      </c>
    </row>
    <row r="12" spans="1:11" x14ac:dyDescent="0.15">
      <c r="A12" s="1">
        <v>6</v>
      </c>
      <c r="B12" t="s">
        <v>11</v>
      </c>
      <c r="C12">
        <v>21</v>
      </c>
      <c r="D12">
        <v>2</v>
      </c>
      <c r="E12">
        <v>2</v>
      </c>
      <c r="H12" t="s">
        <v>68</v>
      </c>
      <c r="J12">
        <v>1</v>
      </c>
    </row>
    <row r="13" spans="1:11" x14ac:dyDescent="0.15">
      <c r="A13" s="1">
        <v>7</v>
      </c>
      <c r="B13" t="s">
        <v>427</v>
      </c>
      <c r="C13">
        <v>21</v>
      </c>
      <c r="D13">
        <v>2</v>
      </c>
      <c r="E13">
        <v>1</v>
      </c>
      <c r="J13">
        <v>1</v>
      </c>
    </row>
    <row r="14" spans="1:11" x14ac:dyDescent="0.15">
      <c r="A14" s="8">
        <v>8</v>
      </c>
      <c r="B14" t="s">
        <v>471</v>
      </c>
      <c r="C14">
        <v>21</v>
      </c>
      <c r="D14">
        <v>1</v>
      </c>
      <c r="E14">
        <v>2</v>
      </c>
      <c r="H14" t="s">
        <v>136</v>
      </c>
      <c r="J14">
        <v>1</v>
      </c>
    </row>
    <row r="15" spans="1:11" x14ac:dyDescent="0.15">
      <c r="A15" s="1">
        <v>9</v>
      </c>
      <c r="B15" t="s">
        <v>52</v>
      </c>
      <c r="C15">
        <v>5</v>
      </c>
      <c r="D15">
        <v>1</v>
      </c>
      <c r="E15">
        <v>2</v>
      </c>
      <c r="H15" t="s">
        <v>463</v>
      </c>
      <c r="J15">
        <v>1</v>
      </c>
    </row>
    <row r="16" spans="1:11" x14ac:dyDescent="0.15">
      <c r="A16" s="8">
        <v>10</v>
      </c>
      <c r="B16" t="s">
        <v>165</v>
      </c>
      <c r="C16">
        <v>21</v>
      </c>
      <c r="D16">
        <v>2</v>
      </c>
      <c r="E16">
        <v>2</v>
      </c>
      <c r="F16" t="s">
        <v>455</v>
      </c>
      <c r="H16" s="1" t="s">
        <v>207</v>
      </c>
      <c r="J16">
        <v>1</v>
      </c>
    </row>
    <row r="17" spans="1:10" x14ac:dyDescent="0.15">
      <c r="A17" s="1">
        <v>11</v>
      </c>
      <c r="B17" t="s">
        <v>191</v>
      </c>
      <c r="C17">
        <v>21</v>
      </c>
      <c r="D17">
        <v>2</v>
      </c>
      <c r="E17">
        <v>2</v>
      </c>
      <c r="F17" t="s">
        <v>456</v>
      </c>
      <c r="H17" t="s">
        <v>208</v>
      </c>
      <c r="J17">
        <v>1</v>
      </c>
    </row>
    <row r="18" spans="1:10" x14ac:dyDescent="0.15">
      <c r="A18" s="8">
        <v>12</v>
      </c>
      <c r="B18" t="s">
        <v>180</v>
      </c>
      <c r="C18">
        <v>21</v>
      </c>
      <c r="D18">
        <v>1</v>
      </c>
      <c r="E18">
        <v>1</v>
      </c>
      <c r="J18">
        <v>1</v>
      </c>
    </row>
    <row r="19" spans="1:10" x14ac:dyDescent="0.15">
      <c r="A19" s="1">
        <v>13</v>
      </c>
      <c r="B19" t="s">
        <v>192</v>
      </c>
      <c r="C19">
        <v>21</v>
      </c>
      <c r="D19">
        <v>1</v>
      </c>
      <c r="E19">
        <v>2</v>
      </c>
      <c r="H19" t="s">
        <v>209</v>
      </c>
      <c r="J19">
        <v>1</v>
      </c>
    </row>
    <row r="20" spans="1:10" x14ac:dyDescent="0.15">
      <c r="A20" s="8">
        <v>14</v>
      </c>
      <c r="B20" t="s">
        <v>212</v>
      </c>
      <c r="C20">
        <v>21</v>
      </c>
      <c r="D20">
        <v>2</v>
      </c>
      <c r="E20">
        <v>2</v>
      </c>
      <c r="F20" t="s">
        <v>457</v>
      </c>
      <c r="H20" t="s">
        <v>213</v>
      </c>
      <c r="J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showGridLines="0" topLeftCell="A4" zoomScaleNormal="100" workbookViewId="0">
      <selection activeCell="A15" sqref="A15"/>
    </sheetView>
  </sheetViews>
  <sheetFormatPr defaultRowHeight="11.25" x14ac:dyDescent="0.15"/>
  <cols>
    <col min="1" max="1" width="14.25" customWidth="1"/>
    <col min="3" max="3" width="13.75" customWidth="1"/>
    <col min="4" max="4" width="15.75" customWidth="1"/>
  </cols>
  <sheetData>
    <row r="1" spans="1:17" ht="19.5" x14ac:dyDescent="0.25">
      <c r="A1" s="6" t="s">
        <v>29</v>
      </c>
      <c r="K1" s="37"/>
      <c r="L1" s="37"/>
      <c r="M1" s="37"/>
      <c r="N1" s="37"/>
      <c r="O1" s="37"/>
      <c r="P1" s="37"/>
      <c r="Q1" s="37"/>
    </row>
    <row r="2" spans="1:17" x14ac:dyDescent="0.15">
      <c r="A2" s="56" t="s">
        <v>415</v>
      </c>
      <c r="K2" s="37"/>
      <c r="L2" s="37"/>
      <c r="M2" s="37"/>
      <c r="N2" s="37"/>
      <c r="O2" s="37"/>
      <c r="P2" s="37"/>
      <c r="Q2" s="37"/>
    </row>
    <row r="3" spans="1:17" x14ac:dyDescent="0.15">
      <c r="A3" s="2"/>
      <c r="B3" s="56"/>
      <c r="C3" s="2"/>
      <c r="K3" s="37"/>
      <c r="L3" s="37"/>
      <c r="M3" s="37"/>
      <c r="N3" s="37"/>
      <c r="O3" s="37"/>
      <c r="P3" s="37"/>
      <c r="Q3" s="37"/>
    </row>
    <row r="4" spans="1:17" x14ac:dyDescent="0.15">
      <c r="A4" s="97" t="s">
        <v>139</v>
      </c>
      <c r="B4" s="12"/>
      <c r="C4" s="12"/>
      <c r="D4" s="12"/>
      <c r="E4" s="77"/>
      <c r="F4" s="206"/>
      <c r="G4" s="206"/>
      <c r="H4" s="8"/>
      <c r="I4" s="8"/>
      <c r="J4" s="8"/>
      <c r="K4" s="37"/>
      <c r="L4" s="37"/>
      <c r="M4" s="37"/>
      <c r="N4" s="37"/>
      <c r="O4" s="37"/>
      <c r="P4" s="37"/>
      <c r="Q4" s="37"/>
    </row>
    <row r="5" spans="1:17" x14ac:dyDescent="0.15">
      <c r="B5" s="98"/>
      <c r="C5" s="8"/>
      <c r="D5" s="8"/>
      <c r="E5" s="78"/>
      <c r="F5" s="8"/>
      <c r="G5" s="8"/>
      <c r="H5" s="8"/>
      <c r="I5" s="8"/>
      <c r="J5" s="8"/>
      <c r="K5" s="37"/>
      <c r="L5" s="37"/>
      <c r="M5" s="37"/>
      <c r="N5" s="37"/>
      <c r="O5" s="37"/>
      <c r="P5" s="37"/>
      <c r="Q5" s="37"/>
    </row>
    <row r="6" spans="1:17" x14ac:dyDescent="0.15">
      <c r="B6" s="2"/>
      <c r="E6" s="78"/>
      <c r="F6" s="8"/>
      <c r="G6" s="8"/>
      <c r="H6" s="8"/>
      <c r="I6" s="8"/>
      <c r="J6" s="8"/>
      <c r="K6" s="37"/>
      <c r="L6" s="37"/>
      <c r="M6" s="37"/>
      <c r="N6" s="37"/>
      <c r="O6" s="37"/>
      <c r="P6" s="37"/>
      <c r="Q6" s="37"/>
    </row>
    <row r="7" spans="1:17" x14ac:dyDescent="0.15">
      <c r="E7" s="78"/>
      <c r="F7" s="8"/>
      <c r="G7" s="8"/>
      <c r="H7" s="8"/>
      <c r="I7" s="8"/>
      <c r="J7" s="8"/>
      <c r="K7" s="37"/>
      <c r="L7" s="37"/>
      <c r="M7" s="37"/>
      <c r="N7" s="37"/>
      <c r="O7" s="37"/>
      <c r="P7" s="37"/>
      <c r="Q7" s="37"/>
    </row>
    <row r="8" spans="1:17" x14ac:dyDescent="0.15">
      <c r="A8" s="56" t="s">
        <v>417</v>
      </c>
      <c r="B8" s="195"/>
      <c r="C8" s="8"/>
      <c r="D8" s="8"/>
      <c r="E8" s="78"/>
      <c r="F8" s="8"/>
      <c r="G8" s="8"/>
      <c r="H8" s="8"/>
      <c r="I8" s="8"/>
      <c r="J8" s="8"/>
      <c r="K8" s="37"/>
      <c r="L8" s="37"/>
      <c r="M8" s="37"/>
      <c r="N8" s="37"/>
      <c r="O8" s="37"/>
      <c r="P8" s="37"/>
      <c r="Q8" s="37"/>
    </row>
    <row r="9" spans="1:17" x14ac:dyDescent="0.15">
      <c r="A9" t="s">
        <v>392</v>
      </c>
      <c r="B9" s="8"/>
      <c r="C9" s="8"/>
      <c r="D9" s="8"/>
      <c r="E9" s="78"/>
      <c r="F9" s="8"/>
      <c r="G9" s="8"/>
      <c r="H9" s="79"/>
      <c r="I9" s="79"/>
      <c r="J9" s="79"/>
      <c r="K9" s="37"/>
      <c r="L9" s="37"/>
      <c r="M9" s="37"/>
      <c r="N9" s="37"/>
      <c r="O9" s="37"/>
      <c r="P9" s="37"/>
      <c r="Q9" s="37"/>
    </row>
    <row r="10" spans="1:17" x14ac:dyDescent="0.15">
      <c r="A10" s="99"/>
      <c r="B10" s="8"/>
      <c r="C10" s="8"/>
      <c r="D10" s="8"/>
      <c r="E10" s="78"/>
      <c r="F10" s="8"/>
      <c r="G10" s="8"/>
      <c r="H10" s="8"/>
      <c r="I10" s="8"/>
      <c r="J10" s="8"/>
      <c r="K10" s="37"/>
      <c r="L10" s="37"/>
      <c r="M10" s="37"/>
      <c r="N10" s="37"/>
      <c r="O10" s="37"/>
      <c r="P10" s="37"/>
      <c r="Q10" s="37"/>
    </row>
    <row r="11" spans="1:17" x14ac:dyDescent="0.15">
      <c r="A11" s="8"/>
      <c r="B11" s="8"/>
      <c r="C11" s="8"/>
      <c r="D11" s="8"/>
      <c r="E11" s="78"/>
      <c r="F11" s="8"/>
      <c r="G11" s="8"/>
      <c r="H11" s="8"/>
      <c r="I11" s="8"/>
      <c r="J11" s="8"/>
      <c r="K11" s="37"/>
      <c r="L11" s="37"/>
      <c r="M11" s="37"/>
      <c r="N11" s="37"/>
      <c r="O11" s="37"/>
      <c r="P11" s="37"/>
      <c r="Q11" s="37"/>
    </row>
    <row r="12" spans="1:17" x14ac:dyDescent="0.15">
      <c r="A12" s="37"/>
      <c r="B12" s="37"/>
      <c r="C12" s="37"/>
      <c r="D12" s="37"/>
      <c r="E12" s="78"/>
      <c r="F12" s="8"/>
      <c r="G12" s="8"/>
      <c r="H12" s="8"/>
      <c r="I12" s="8"/>
      <c r="J12" s="8"/>
      <c r="K12" s="37"/>
      <c r="L12" s="37"/>
      <c r="M12" s="37"/>
      <c r="N12" s="37"/>
      <c r="O12" s="37"/>
      <c r="P12" s="37"/>
      <c r="Q12" s="37"/>
    </row>
    <row r="13" spans="1:17" x14ac:dyDescent="0.15">
      <c r="A13" s="95"/>
      <c r="B13" s="37"/>
      <c r="C13" s="37"/>
      <c r="D13" s="37"/>
      <c r="E13" s="78"/>
      <c r="F13" s="8"/>
      <c r="G13" s="8"/>
      <c r="H13" s="8"/>
      <c r="I13" s="8"/>
      <c r="J13" s="8"/>
      <c r="K13" s="37"/>
      <c r="L13" s="37"/>
      <c r="M13" s="37"/>
      <c r="N13" s="37"/>
      <c r="O13" s="37"/>
      <c r="P13" s="37"/>
      <c r="Q13" s="37"/>
    </row>
    <row r="14" spans="1:17" x14ac:dyDescent="0.15">
      <c r="A14" s="37"/>
      <c r="B14" s="37"/>
      <c r="C14" s="37"/>
      <c r="D14" s="95"/>
      <c r="E14" s="78"/>
      <c r="F14" s="8"/>
      <c r="G14" s="8"/>
      <c r="H14" s="8"/>
      <c r="I14" s="8"/>
      <c r="J14" s="8"/>
      <c r="K14" s="37"/>
      <c r="L14" s="37"/>
      <c r="M14" s="37"/>
      <c r="N14" s="37"/>
      <c r="O14" s="37"/>
      <c r="P14" s="37"/>
      <c r="Q14" s="37"/>
    </row>
    <row r="15" spans="1:17" x14ac:dyDescent="0.15">
      <c r="A15" s="196" t="s">
        <v>391</v>
      </c>
      <c r="B15" s="8"/>
      <c r="C15" s="8"/>
      <c r="D15" s="8"/>
      <c r="E15" s="78"/>
      <c r="F15" s="8"/>
      <c r="G15" s="8"/>
      <c r="H15" s="8"/>
      <c r="I15" s="8"/>
      <c r="J15" s="8"/>
      <c r="K15" s="37"/>
      <c r="L15" s="37"/>
      <c r="M15" s="37"/>
      <c r="N15" s="37"/>
      <c r="O15" s="37"/>
      <c r="P15" s="37"/>
      <c r="Q15" s="37"/>
    </row>
    <row r="16" spans="1:17" x14ac:dyDescent="0.15">
      <c r="A16" s="8"/>
      <c r="B16" s="8"/>
      <c r="C16" s="8"/>
      <c r="D16" s="8"/>
      <c r="E16" s="78"/>
      <c r="F16" s="8"/>
      <c r="G16" s="8"/>
      <c r="H16" s="8"/>
      <c r="I16" s="8"/>
      <c r="J16" s="8"/>
      <c r="K16" s="37"/>
      <c r="L16" s="37"/>
      <c r="M16" s="37"/>
      <c r="N16" s="37"/>
      <c r="O16" s="37"/>
      <c r="P16" s="37"/>
      <c r="Q16" s="37"/>
    </row>
    <row r="17" spans="1:17" x14ac:dyDescent="0.15">
      <c r="A17" s="8"/>
      <c r="B17" s="8"/>
      <c r="C17" s="8"/>
      <c r="D17" s="8"/>
      <c r="E17" s="78"/>
      <c r="F17" s="8"/>
      <c r="G17" s="8"/>
      <c r="H17" s="8"/>
      <c r="I17" s="8"/>
      <c r="J17" s="8"/>
      <c r="K17" s="37"/>
      <c r="L17" s="37"/>
      <c r="M17" s="37"/>
      <c r="N17" s="37"/>
      <c r="O17" s="37"/>
      <c r="P17" s="37"/>
      <c r="Q17" s="37"/>
    </row>
    <row r="18" spans="1:17" x14ac:dyDescent="0.15">
      <c r="A18" s="30"/>
      <c r="B18" s="30"/>
      <c r="C18" s="30"/>
      <c r="D18" s="30"/>
      <c r="E18" s="76"/>
      <c r="F18" s="8"/>
      <c r="G18" s="8"/>
      <c r="H18" s="8"/>
      <c r="I18" s="8"/>
      <c r="J18" s="8"/>
      <c r="K18" s="37"/>
      <c r="L18" s="37"/>
      <c r="M18" s="37"/>
      <c r="N18" s="37"/>
      <c r="O18" s="37"/>
      <c r="P18" s="37"/>
      <c r="Q18" s="37"/>
    </row>
    <row r="19" spans="1:17" x14ac:dyDescent="0.15">
      <c r="A19" s="19"/>
      <c r="F19" s="1"/>
      <c r="G19" s="1"/>
      <c r="H19" s="1"/>
      <c r="I19" s="1"/>
      <c r="J19" s="1"/>
      <c r="P19" s="37"/>
      <c r="Q19" s="37"/>
    </row>
    <row r="20" spans="1:17" ht="30" customHeight="1" x14ac:dyDescent="0.15">
      <c r="A20" s="22" t="s">
        <v>45</v>
      </c>
      <c r="B20" s="22" t="s">
        <v>46</v>
      </c>
      <c r="C20" s="22" t="s">
        <v>47</v>
      </c>
      <c r="F20" s="1"/>
      <c r="G20" s="1"/>
      <c r="H20" s="1"/>
      <c r="I20" s="1"/>
      <c r="J20" s="1"/>
    </row>
    <row r="21" spans="1:17" x14ac:dyDescent="0.15">
      <c r="A21" s="3" t="s">
        <v>0</v>
      </c>
      <c r="B21" s="21" t="s">
        <v>42</v>
      </c>
      <c r="C21" s="2" t="s">
        <v>42</v>
      </c>
      <c r="D21" s="2"/>
      <c r="E21" s="2"/>
      <c r="F21" s="2"/>
    </row>
    <row r="22" spans="1:17" x14ac:dyDescent="0.15">
      <c r="A22" s="9" t="s">
        <v>12</v>
      </c>
      <c r="B22" s="9" t="s">
        <v>13</v>
      </c>
      <c r="C22" t="s">
        <v>67</v>
      </c>
      <c r="D22" s="1"/>
      <c r="E22" s="1"/>
    </row>
    <row r="23" spans="1:17" x14ac:dyDescent="0.15">
      <c r="A23" t="s">
        <v>124</v>
      </c>
      <c r="B23" s="111">
        <v>1</v>
      </c>
      <c r="C23" s="113" t="s">
        <v>104</v>
      </c>
      <c r="D23" s="1"/>
      <c r="E23" s="8"/>
      <c r="F23" s="8"/>
    </row>
    <row r="24" spans="1:17" x14ac:dyDescent="0.15">
      <c r="A24" t="s">
        <v>125</v>
      </c>
      <c r="B24" s="111">
        <v>1</v>
      </c>
      <c r="C24" s="113" t="s">
        <v>99</v>
      </c>
      <c r="D24" s="1"/>
      <c r="E24" s="8"/>
      <c r="F24" s="8"/>
    </row>
    <row r="25" spans="1:17" x14ac:dyDescent="0.15">
      <c r="A25" t="s">
        <v>361</v>
      </c>
      <c r="B25" s="111">
        <v>1</v>
      </c>
      <c r="C25" s="113" t="s">
        <v>359</v>
      </c>
      <c r="D25" s="1"/>
      <c r="E25" s="8"/>
      <c r="F25" s="8"/>
    </row>
    <row r="26" spans="1:17" x14ac:dyDescent="0.15">
      <c r="A26" t="s">
        <v>161</v>
      </c>
      <c r="B26" s="111">
        <v>1</v>
      </c>
      <c r="C26" s="113" t="s">
        <v>103</v>
      </c>
    </row>
    <row r="27" spans="1:17" x14ac:dyDescent="0.15">
      <c r="A27" t="s">
        <v>163</v>
      </c>
      <c r="B27" s="111">
        <v>1</v>
      </c>
      <c r="C27" s="113" t="s">
        <v>157</v>
      </c>
    </row>
    <row r="28" spans="1:17" x14ac:dyDescent="0.15">
      <c r="A28" t="s">
        <v>164</v>
      </c>
      <c r="B28" s="111">
        <v>1</v>
      </c>
      <c r="C28" s="113" t="s">
        <v>154</v>
      </c>
    </row>
    <row r="29" spans="1:17" x14ac:dyDescent="0.15">
      <c r="A29" t="s">
        <v>185</v>
      </c>
      <c r="B29" s="111">
        <v>1</v>
      </c>
      <c r="C29" s="113" t="s">
        <v>184</v>
      </c>
    </row>
    <row r="30" spans="1:17" x14ac:dyDescent="0.15">
      <c r="A30" t="s">
        <v>158</v>
      </c>
      <c r="B30" s="111">
        <v>1</v>
      </c>
      <c r="C30" s="113" t="s">
        <v>156</v>
      </c>
    </row>
    <row r="31" spans="1:17" x14ac:dyDescent="0.15">
      <c r="A31" t="s">
        <v>368</v>
      </c>
      <c r="B31" s="111">
        <v>1</v>
      </c>
      <c r="C31" s="113" t="s">
        <v>229</v>
      </c>
    </row>
    <row r="32" spans="1:17" x14ac:dyDescent="0.15">
      <c r="A32" s="81" t="s">
        <v>159</v>
      </c>
      <c r="B32" s="111">
        <v>1</v>
      </c>
      <c r="C32" s="113" t="s">
        <v>153</v>
      </c>
    </row>
    <row r="33" spans="1:3" x14ac:dyDescent="0.15">
      <c r="A33" t="s">
        <v>122</v>
      </c>
      <c r="B33" s="111">
        <v>1</v>
      </c>
      <c r="C33" s="112" t="s">
        <v>102</v>
      </c>
    </row>
    <row r="34" spans="1:3" x14ac:dyDescent="0.15">
      <c r="A34" t="s">
        <v>412</v>
      </c>
      <c r="B34" s="111">
        <v>1</v>
      </c>
      <c r="C34" s="112" t="s">
        <v>182</v>
      </c>
    </row>
    <row r="35" spans="1:3" x14ac:dyDescent="0.15">
      <c r="A35" t="s">
        <v>413</v>
      </c>
      <c r="B35" s="111">
        <v>1</v>
      </c>
      <c r="C35" s="112" t="s">
        <v>101</v>
      </c>
    </row>
    <row r="36" spans="1:3" x14ac:dyDescent="0.15">
      <c r="A36" t="s">
        <v>414</v>
      </c>
      <c r="B36" s="111">
        <v>1</v>
      </c>
      <c r="C36" s="112" t="s">
        <v>100</v>
      </c>
    </row>
    <row r="37" spans="1:3" x14ac:dyDescent="0.15">
      <c r="A37" t="s">
        <v>120</v>
      </c>
      <c r="B37" s="111">
        <v>1</v>
      </c>
      <c r="C37" s="111" t="s">
        <v>104</v>
      </c>
    </row>
    <row r="38" spans="1:3" x14ac:dyDescent="0.15">
      <c r="B38" s="111">
        <v>2</v>
      </c>
      <c r="C38" s="111" t="s">
        <v>105</v>
      </c>
    </row>
    <row r="39" spans="1:3" x14ac:dyDescent="0.15">
      <c r="A39" t="s">
        <v>183</v>
      </c>
      <c r="B39" s="111">
        <v>1</v>
      </c>
      <c r="C39" s="113" t="s">
        <v>99</v>
      </c>
    </row>
    <row r="40" spans="1:3" x14ac:dyDescent="0.15">
      <c r="B40" s="111">
        <v>2</v>
      </c>
      <c r="C40" s="113" t="s">
        <v>181</v>
      </c>
    </row>
    <row r="41" spans="1:3" x14ac:dyDescent="0.15">
      <c r="A41" t="s">
        <v>121</v>
      </c>
      <c r="B41" s="111">
        <v>1</v>
      </c>
      <c r="C41" s="111" t="s">
        <v>99</v>
      </c>
    </row>
    <row r="42" spans="1:3" x14ac:dyDescent="0.15">
      <c r="B42" s="111">
        <v>2</v>
      </c>
      <c r="C42" s="111" t="s">
        <v>100</v>
      </c>
    </row>
    <row r="43" spans="1:3" x14ac:dyDescent="0.15">
      <c r="A43" t="s">
        <v>123</v>
      </c>
      <c r="B43" s="111">
        <v>1</v>
      </c>
      <c r="C43" s="111" t="s">
        <v>99</v>
      </c>
    </row>
    <row r="44" spans="1:3" x14ac:dyDescent="0.15">
      <c r="B44" s="111">
        <v>2</v>
      </c>
      <c r="C44" s="113" t="s">
        <v>101</v>
      </c>
    </row>
    <row r="45" spans="1:3" x14ac:dyDescent="0.15">
      <c r="A45" t="s">
        <v>315</v>
      </c>
      <c r="B45" s="111">
        <v>1</v>
      </c>
      <c r="C45" s="113" t="s">
        <v>99</v>
      </c>
    </row>
    <row r="46" spans="1:3" x14ac:dyDescent="0.15">
      <c r="B46" s="111">
        <v>2</v>
      </c>
      <c r="C46" s="113" t="s">
        <v>105</v>
      </c>
    </row>
    <row r="47" spans="1:3" x14ac:dyDescent="0.15">
      <c r="A47" t="s">
        <v>316</v>
      </c>
      <c r="B47" s="111">
        <v>1</v>
      </c>
      <c r="C47" s="113" t="s">
        <v>99</v>
      </c>
    </row>
    <row r="48" spans="1:3" x14ac:dyDescent="0.15">
      <c r="B48" s="111">
        <v>2</v>
      </c>
      <c r="C48" s="113" t="s">
        <v>182</v>
      </c>
    </row>
    <row r="49" spans="1:3" x14ac:dyDescent="0.15">
      <c r="A49" t="s">
        <v>160</v>
      </c>
      <c r="B49" s="111">
        <v>1</v>
      </c>
      <c r="C49" s="113" t="s">
        <v>154</v>
      </c>
    </row>
    <row r="50" spans="1:3" x14ac:dyDescent="0.15">
      <c r="B50" s="111">
        <v>2</v>
      </c>
      <c r="C50" s="113" t="s">
        <v>360</v>
      </c>
    </row>
    <row r="51" spans="1:3" x14ac:dyDescent="0.15">
      <c r="A51" t="s">
        <v>186</v>
      </c>
      <c r="B51" s="111">
        <v>1</v>
      </c>
      <c r="C51" s="113" t="s">
        <v>184</v>
      </c>
    </row>
    <row r="52" spans="1:3" x14ac:dyDescent="0.15">
      <c r="B52" s="111">
        <v>2</v>
      </c>
      <c r="C52" s="113" t="s">
        <v>182</v>
      </c>
    </row>
    <row r="53" spans="1:3" x14ac:dyDescent="0.15">
      <c r="A53" t="s">
        <v>187</v>
      </c>
      <c r="B53" s="111">
        <v>1</v>
      </c>
      <c r="C53" s="113" t="s">
        <v>103</v>
      </c>
    </row>
    <row r="54" spans="1:3" x14ac:dyDescent="0.15">
      <c r="B54" s="111">
        <v>2</v>
      </c>
      <c r="C54" s="113" t="s">
        <v>100</v>
      </c>
    </row>
    <row r="55" spans="1:3" x14ac:dyDescent="0.15">
      <c r="A55" t="s">
        <v>312</v>
      </c>
      <c r="B55" s="111">
        <v>1</v>
      </c>
      <c r="C55" s="113" t="s">
        <v>154</v>
      </c>
    </row>
    <row r="56" spans="1:3" x14ac:dyDescent="0.15">
      <c r="B56" s="111">
        <v>2</v>
      </c>
      <c r="C56" s="113" t="s">
        <v>181</v>
      </c>
    </row>
    <row r="57" spans="1:3" x14ac:dyDescent="0.15">
      <c r="A57" t="s">
        <v>313</v>
      </c>
      <c r="B57" s="111">
        <v>1</v>
      </c>
      <c r="C57" s="113" t="s">
        <v>103</v>
      </c>
    </row>
    <row r="58" spans="1:3" x14ac:dyDescent="0.15">
      <c r="B58" s="111">
        <v>2</v>
      </c>
      <c r="C58" s="113" t="s">
        <v>181</v>
      </c>
    </row>
    <row r="59" spans="1:3" x14ac:dyDescent="0.15">
      <c r="A59" t="s">
        <v>314</v>
      </c>
      <c r="B59" s="111">
        <v>1</v>
      </c>
      <c r="C59" s="113" t="s">
        <v>184</v>
      </c>
    </row>
    <row r="60" spans="1:3" x14ac:dyDescent="0.15">
      <c r="B60" s="111">
        <v>2</v>
      </c>
      <c r="C60" s="113" t="s">
        <v>360</v>
      </c>
    </row>
    <row r="61" spans="1:3" x14ac:dyDescent="0.15">
      <c r="A61" t="s">
        <v>317</v>
      </c>
      <c r="B61" s="111">
        <v>1</v>
      </c>
      <c r="C61" s="113" t="s">
        <v>101</v>
      </c>
    </row>
    <row r="62" spans="1:3" x14ac:dyDescent="0.15">
      <c r="B62" s="111">
        <v>2</v>
      </c>
      <c r="C62" s="113" t="s">
        <v>360</v>
      </c>
    </row>
    <row r="63" spans="1:3" x14ac:dyDescent="0.15">
      <c r="A63" t="s">
        <v>318</v>
      </c>
      <c r="B63" s="111">
        <v>1</v>
      </c>
      <c r="C63" s="113" t="s">
        <v>157</v>
      </c>
    </row>
    <row r="64" spans="1:3" x14ac:dyDescent="0.15">
      <c r="B64" s="111">
        <v>2</v>
      </c>
      <c r="C64" s="113" t="s">
        <v>182</v>
      </c>
    </row>
    <row r="65" spans="1:3" x14ac:dyDescent="0.15">
      <c r="A65" t="s">
        <v>319</v>
      </c>
      <c r="B65" s="111">
        <v>1</v>
      </c>
      <c r="C65" s="113" t="s">
        <v>157</v>
      </c>
    </row>
    <row r="66" spans="1:3" x14ac:dyDescent="0.15">
      <c r="B66" s="111">
        <v>2</v>
      </c>
      <c r="C66" s="113" t="s">
        <v>100</v>
      </c>
    </row>
    <row r="67" spans="1:3" x14ac:dyDescent="0.15">
      <c r="A67" t="s">
        <v>324</v>
      </c>
      <c r="B67" s="111">
        <v>1</v>
      </c>
      <c r="C67" s="113" t="s">
        <v>154</v>
      </c>
    </row>
    <row r="68" spans="1:3" x14ac:dyDescent="0.15">
      <c r="B68" s="111">
        <v>2</v>
      </c>
      <c r="C68" s="113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GridLines="0" zoomScaleNormal="100" workbookViewId="0">
      <selection activeCell="G40" sqref="G40"/>
    </sheetView>
  </sheetViews>
  <sheetFormatPr defaultRowHeight="11.25" x14ac:dyDescent="0.15"/>
  <cols>
    <col min="1" max="1" width="10.5" customWidth="1"/>
    <col min="3" max="3" width="9.25" customWidth="1"/>
    <col min="4" max="4" width="11.5" customWidth="1"/>
  </cols>
  <sheetData>
    <row r="1" spans="1:12" ht="19.5" x14ac:dyDescent="0.25">
      <c r="A1" s="6" t="s">
        <v>466</v>
      </c>
      <c r="I1" s="1"/>
      <c r="K1" s="1"/>
      <c r="L1" s="1"/>
    </row>
    <row r="2" spans="1:12" x14ac:dyDescent="0.15">
      <c r="A2" s="5" t="s">
        <v>420</v>
      </c>
      <c r="I2" s="1"/>
      <c r="K2" s="1"/>
      <c r="L2" s="1"/>
    </row>
    <row r="3" spans="1:12" x14ac:dyDescent="0.15">
      <c r="A3" s="5"/>
      <c r="I3" s="1"/>
      <c r="J3" s="1"/>
      <c r="K3" s="167"/>
      <c r="L3" s="185"/>
    </row>
    <row r="4" spans="1:12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  <c r="K4" s="167"/>
      <c r="L4" s="185"/>
    </row>
    <row r="5" spans="1:12" x14ac:dyDescent="0.15">
      <c r="A5" s="197"/>
      <c r="B5" s="98"/>
      <c r="C5" s="8"/>
      <c r="D5" s="8"/>
      <c r="E5" s="78"/>
      <c r="F5" s="8"/>
      <c r="G5" s="8"/>
      <c r="H5" s="8"/>
      <c r="I5" s="8"/>
      <c r="J5" s="78"/>
      <c r="K5" s="167"/>
      <c r="L5" s="185"/>
    </row>
    <row r="6" spans="1:12" x14ac:dyDescent="0.15">
      <c r="A6" s="197" t="s">
        <v>398</v>
      </c>
      <c r="B6" s="2"/>
      <c r="E6" s="78"/>
      <c r="F6" s="37"/>
      <c r="G6" s="8"/>
      <c r="H6" s="8"/>
      <c r="I6" s="8"/>
      <c r="J6" s="78"/>
      <c r="K6" s="167"/>
      <c r="L6" s="185"/>
    </row>
    <row r="7" spans="1:12" x14ac:dyDescent="0.15">
      <c r="A7" t="s">
        <v>422</v>
      </c>
      <c r="E7" s="78"/>
      <c r="F7" s="8"/>
      <c r="G7" s="8"/>
      <c r="H7" s="8"/>
      <c r="I7" s="8"/>
      <c r="J7" s="78"/>
      <c r="K7" s="167"/>
      <c r="L7" s="185"/>
    </row>
    <row r="8" spans="1:12" x14ac:dyDescent="0.15">
      <c r="B8" s="195"/>
      <c r="C8" s="8"/>
      <c r="D8" s="8"/>
      <c r="E8" s="78"/>
      <c r="F8" s="67"/>
      <c r="G8" s="8"/>
      <c r="H8" s="8"/>
      <c r="I8" s="8"/>
      <c r="J8" s="78"/>
      <c r="K8" s="167"/>
      <c r="L8" s="185"/>
    </row>
    <row r="9" spans="1:12" x14ac:dyDescent="0.15">
      <c r="A9" s="38" t="s">
        <v>162</v>
      </c>
      <c r="B9" s="8"/>
      <c r="C9" s="8"/>
      <c r="D9" s="8"/>
      <c r="E9" s="78"/>
      <c r="F9" s="67"/>
      <c r="G9" s="8"/>
      <c r="H9" s="79"/>
      <c r="I9" s="79"/>
      <c r="J9" s="193"/>
      <c r="K9" s="167"/>
      <c r="L9" s="185"/>
    </row>
    <row r="10" spans="1:12" x14ac:dyDescent="0.15">
      <c r="A10" s="38" t="s">
        <v>399</v>
      </c>
      <c r="B10" s="8"/>
      <c r="C10" s="8"/>
      <c r="D10" s="8"/>
      <c r="E10" s="78"/>
      <c r="F10" s="67"/>
      <c r="G10" s="8"/>
      <c r="H10" s="8"/>
      <c r="I10" s="8"/>
      <c r="J10" s="78"/>
      <c r="K10" s="167"/>
      <c r="L10" s="185"/>
    </row>
    <row r="11" spans="1:12" x14ac:dyDescent="0.15">
      <c r="B11" s="8"/>
      <c r="C11" s="8"/>
      <c r="D11" s="8"/>
      <c r="E11" s="78"/>
      <c r="F11" s="67"/>
      <c r="G11" s="8"/>
      <c r="H11" s="8"/>
      <c r="I11" s="8"/>
      <c r="J11" s="78"/>
      <c r="K11" s="167"/>
      <c r="L11" s="185"/>
    </row>
    <row r="12" spans="1:12" x14ac:dyDescent="0.15">
      <c r="A12" t="s">
        <v>397</v>
      </c>
      <c r="B12" s="37"/>
      <c r="C12" s="37"/>
      <c r="D12" s="37"/>
      <c r="E12" s="78"/>
      <c r="F12" s="37"/>
      <c r="G12" s="37"/>
      <c r="H12" s="37"/>
      <c r="I12" s="8"/>
      <c r="J12" s="78"/>
      <c r="K12" s="167"/>
      <c r="L12" s="185"/>
    </row>
    <row r="13" spans="1:12" x14ac:dyDescent="0.15">
      <c r="A13" s="1" t="s">
        <v>421</v>
      </c>
      <c r="B13" s="37"/>
      <c r="C13" s="37"/>
      <c r="D13" s="37"/>
      <c r="E13" s="78"/>
      <c r="F13" s="37"/>
      <c r="G13" s="37"/>
      <c r="H13" s="37"/>
      <c r="I13" s="8"/>
      <c r="J13" s="78"/>
      <c r="K13" s="167"/>
      <c r="L13" s="185"/>
    </row>
    <row r="14" spans="1:12" x14ac:dyDescent="0.15">
      <c r="A14" s="137"/>
      <c r="B14" s="37"/>
      <c r="C14" s="37"/>
      <c r="D14" s="95"/>
      <c r="E14" s="78"/>
      <c r="F14" s="37"/>
      <c r="G14" s="37"/>
      <c r="H14" s="37"/>
      <c r="I14" s="8"/>
      <c r="J14" s="78"/>
      <c r="K14" s="167"/>
      <c r="L14" s="185"/>
    </row>
    <row r="15" spans="1:12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  <c r="K15" s="167"/>
      <c r="L15" s="185"/>
    </row>
    <row r="16" spans="1:12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  <c r="K16" s="167"/>
      <c r="L16" s="185"/>
    </row>
    <row r="17" spans="1:12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  <c r="K17" s="167"/>
      <c r="L17" s="185"/>
    </row>
    <row r="18" spans="1:12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  <c r="K18" s="167"/>
      <c r="L18" s="185"/>
    </row>
    <row r="19" spans="1:12" x14ac:dyDescent="0.15">
      <c r="A19" s="5"/>
      <c r="E19" s="38"/>
      <c r="I19" s="1"/>
      <c r="J19" s="1"/>
      <c r="K19" s="167"/>
      <c r="L19" s="185"/>
    </row>
    <row r="20" spans="1:12" ht="43.5" customHeight="1" x14ac:dyDescent="0.15">
      <c r="A20" s="3" t="s">
        <v>1</v>
      </c>
      <c r="B20" s="23"/>
      <c r="C20" s="22" t="s">
        <v>48</v>
      </c>
      <c r="D20" s="229" t="s">
        <v>468</v>
      </c>
      <c r="E20" s="84"/>
      <c r="I20" s="1"/>
      <c r="J20" s="1"/>
      <c r="K20" s="1"/>
      <c r="L20" s="1"/>
    </row>
    <row r="21" spans="1:12" x14ac:dyDescent="0.15">
      <c r="A21" s="3" t="s">
        <v>0</v>
      </c>
      <c r="C21" s="2" t="s">
        <v>8</v>
      </c>
      <c r="D21" s="21" t="s">
        <v>8</v>
      </c>
      <c r="E21" s="37"/>
      <c r="I21" s="1"/>
      <c r="J21" s="1"/>
      <c r="K21" s="1"/>
      <c r="L21" s="1"/>
    </row>
    <row r="22" spans="1:12" ht="12" thickBot="1" x14ac:dyDescent="0.2">
      <c r="A22" s="60" t="s">
        <v>27</v>
      </c>
      <c r="B22" s="60" t="s">
        <v>26</v>
      </c>
      <c r="C22" s="169" t="s">
        <v>462</v>
      </c>
      <c r="D22" s="64" t="s">
        <v>467</v>
      </c>
      <c r="E22" s="8"/>
    </row>
    <row r="23" spans="1:12" x14ac:dyDescent="0.15">
      <c r="A23" s="13" t="s">
        <v>100</v>
      </c>
      <c r="B23" s="1">
        <v>1</v>
      </c>
      <c r="C23" s="40">
        <v>0.2</v>
      </c>
      <c r="D23" s="1">
        <v>0.5</v>
      </c>
      <c r="E23" s="79"/>
    </row>
    <row r="24" spans="1:12" x14ac:dyDescent="0.15">
      <c r="A24" s="13"/>
      <c r="B24" s="1">
        <v>2</v>
      </c>
      <c r="C24" s="40">
        <v>0.6</v>
      </c>
      <c r="D24" s="1">
        <v>0.8</v>
      </c>
      <c r="E24" s="79"/>
    </row>
    <row r="25" spans="1:12" x14ac:dyDescent="0.15">
      <c r="A25" s="13"/>
      <c r="B25" s="1">
        <v>3</v>
      </c>
      <c r="C25" s="40">
        <v>0.5</v>
      </c>
      <c r="D25" s="1">
        <v>1.2</v>
      </c>
      <c r="E25" s="79"/>
    </row>
    <row r="26" spans="1:12" x14ac:dyDescent="0.15">
      <c r="A26" s="15"/>
      <c r="B26" s="16">
        <v>4</v>
      </c>
      <c r="C26" s="41">
        <v>0.62</v>
      </c>
      <c r="D26" s="16">
        <v>0.6</v>
      </c>
      <c r="E26" s="79"/>
    </row>
    <row r="27" spans="1:12" x14ac:dyDescent="0.15">
      <c r="A27" s="10" t="s">
        <v>99</v>
      </c>
      <c r="B27" s="11">
        <v>1</v>
      </c>
      <c r="C27" s="40">
        <v>0.4</v>
      </c>
      <c r="D27" s="11">
        <v>0.45</v>
      </c>
      <c r="E27" s="79"/>
    </row>
    <row r="28" spans="1:12" x14ac:dyDescent="0.15">
      <c r="A28" s="13"/>
      <c r="B28" s="1">
        <v>2</v>
      </c>
      <c r="C28" s="40">
        <v>1.5</v>
      </c>
      <c r="D28" s="1">
        <v>0.8</v>
      </c>
      <c r="E28" s="79"/>
    </row>
    <row r="29" spans="1:12" x14ac:dyDescent="0.15">
      <c r="A29" s="13"/>
      <c r="B29" s="1">
        <v>3</v>
      </c>
      <c r="C29" s="40">
        <v>0.5</v>
      </c>
      <c r="D29" s="1">
        <v>1.1000000000000001</v>
      </c>
      <c r="E29" s="79"/>
    </row>
    <row r="30" spans="1:12" x14ac:dyDescent="0.15">
      <c r="A30" s="15"/>
      <c r="B30" s="16">
        <v>4</v>
      </c>
      <c r="C30" s="41">
        <v>0.2</v>
      </c>
      <c r="D30" s="16">
        <v>0.5</v>
      </c>
      <c r="E30" s="79"/>
    </row>
    <row r="31" spans="1:12" x14ac:dyDescent="0.15">
      <c r="A31" s="10" t="s">
        <v>101</v>
      </c>
      <c r="B31" s="11">
        <v>1</v>
      </c>
      <c r="C31" s="90">
        <v>0.75</v>
      </c>
      <c r="D31" s="11">
        <v>0.7</v>
      </c>
      <c r="E31" s="79"/>
    </row>
    <row r="32" spans="1:12" x14ac:dyDescent="0.15">
      <c r="A32" s="13"/>
      <c r="B32" s="1">
        <v>2</v>
      </c>
      <c r="C32" s="40">
        <v>1.2</v>
      </c>
      <c r="D32" s="1">
        <v>0.9</v>
      </c>
      <c r="E32" s="79"/>
    </row>
    <row r="33" spans="1:5" x14ac:dyDescent="0.15">
      <c r="A33" s="13"/>
      <c r="B33" s="1">
        <v>3</v>
      </c>
      <c r="C33" s="40">
        <v>0.5</v>
      </c>
      <c r="D33" s="1">
        <v>1.1000000000000001</v>
      </c>
      <c r="E33" s="79"/>
    </row>
    <row r="34" spans="1:5" x14ac:dyDescent="0.15">
      <c r="A34" s="15"/>
      <c r="B34" s="16">
        <v>4</v>
      </c>
      <c r="C34" s="41">
        <v>0.1</v>
      </c>
      <c r="D34" s="16">
        <v>0.6</v>
      </c>
      <c r="E34" s="79"/>
    </row>
    <row r="35" spans="1:5" x14ac:dyDescent="0.15">
      <c r="A35" s="10" t="s">
        <v>102</v>
      </c>
      <c r="B35" s="11">
        <v>1</v>
      </c>
      <c r="C35" s="238">
        <v>0.2</v>
      </c>
      <c r="D35" s="11">
        <v>0.95</v>
      </c>
      <c r="E35" s="79"/>
    </row>
    <row r="36" spans="1:5" x14ac:dyDescent="0.15">
      <c r="A36" s="13"/>
      <c r="B36" s="1">
        <v>2</v>
      </c>
      <c r="C36" s="238">
        <v>0.8</v>
      </c>
      <c r="D36" s="1">
        <v>0.95</v>
      </c>
      <c r="E36" s="79"/>
    </row>
    <row r="37" spans="1:5" x14ac:dyDescent="0.15">
      <c r="A37" s="13"/>
      <c r="B37" s="1">
        <v>3</v>
      </c>
      <c r="C37" s="238">
        <v>1</v>
      </c>
      <c r="D37" s="1">
        <v>0.95</v>
      </c>
      <c r="E37" s="79"/>
    </row>
    <row r="38" spans="1:5" x14ac:dyDescent="0.15">
      <c r="A38" s="15"/>
      <c r="B38" s="16">
        <v>4</v>
      </c>
      <c r="C38" s="239">
        <v>0.1</v>
      </c>
      <c r="D38" s="16">
        <v>0.95</v>
      </c>
      <c r="E38" s="79"/>
    </row>
    <row r="39" spans="1:5" x14ac:dyDescent="0.15">
      <c r="A39" t="s">
        <v>104</v>
      </c>
      <c r="B39" s="11">
        <v>1</v>
      </c>
      <c r="C39" s="199">
        <v>1</v>
      </c>
      <c r="D39" s="11">
        <v>1.05</v>
      </c>
      <c r="E39" s="199"/>
    </row>
    <row r="40" spans="1:5" x14ac:dyDescent="0.15">
      <c r="A40" s="13"/>
      <c r="B40" s="1">
        <v>2</v>
      </c>
      <c r="C40" s="200">
        <v>1.0900000000000001</v>
      </c>
      <c r="D40" s="1">
        <v>1.1000000000000001</v>
      </c>
      <c r="E40" s="199"/>
    </row>
    <row r="41" spans="1:5" x14ac:dyDescent="0.15">
      <c r="A41" s="13"/>
      <c r="B41" s="1">
        <v>3</v>
      </c>
      <c r="C41" s="200">
        <v>1.32</v>
      </c>
      <c r="D41" s="1">
        <v>1.2</v>
      </c>
      <c r="E41" s="199"/>
    </row>
    <row r="42" spans="1:5" x14ac:dyDescent="0.15">
      <c r="A42" s="15"/>
      <c r="B42" s="16">
        <v>4</v>
      </c>
      <c r="C42" s="201">
        <v>0.5</v>
      </c>
      <c r="D42" s="16">
        <v>0.8</v>
      </c>
      <c r="E42" s="199"/>
    </row>
    <row r="43" spans="1:5" x14ac:dyDescent="0.15">
      <c r="A43" t="s">
        <v>105</v>
      </c>
      <c r="B43" s="11">
        <v>1</v>
      </c>
      <c r="C43" s="199">
        <v>1</v>
      </c>
      <c r="D43" s="11">
        <v>1.05</v>
      </c>
      <c r="E43" s="199"/>
    </row>
    <row r="44" spans="1:5" x14ac:dyDescent="0.15">
      <c r="A44" s="13"/>
      <c r="B44" s="1">
        <v>2</v>
      </c>
      <c r="C44" s="40">
        <v>1.0900000000000001</v>
      </c>
      <c r="D44" s="1">
        <v>1.1000000000000001</v>
      </c>
      <c r="E44" s="79"/>
    </row>
    <row r="45" spans="1:5" x14ac:dyDescent="0.15">
      <c r="A45" s="13"/>
      <c r="B45" s="1">
        <v>3</v>
      </c>
      <c r="C45" s="40">
        <v>1.32</v>
      </c>
      <c r="D45" s="1">
        <v>1.2</v>
      </c>
      <c r="E45" s="79"/>
    </row>
    <row r="46" spans="1:5" x14ac:dyDescent="0.15">
      <c r="A46" s="15"/>
      <c r="B46" s="16">
        <v>4</v>
      </c>
      <c r="C46" s="41">
        <v>0.5</v>
      </c>
      <c r="D46" s="16">
        <v>0.8</v>
      </c>
      <c r="E46" s="79"/>
    </row>
    <row r="47" spans="1:5" x14ac:dyDescent="0.15">
      <c r="A47" s="1" t="s">
        <v>153</v>
      </c>
      <c r="B47" s="8">
        <v>1</v>
      </c>
      <c r="C47" s="90">
        <v>0.75</v>
      </c>
      <c r="D47" s="8">
        <v>0.9</v>
      </c>
      <c r="E47" s="79"/>
    </row>
    <row r="48" spans="1:5" x14ac:dyDescent="0.15">
      <c r="A48" s="1"/>
      <c r="B48" s="8">
        <v>2</v>
      </c>
      <c r="C48" s="40">
        <v>1.2</v>
      </c>
      <c r="D48" s="8">
        <v>0.9</v>
      </c>
      <c r="E48" s="79"/>
    </row>
    <row r="49" spans="1:5" x14ac:dyDescent="0.15">
      <c r="A49" s="1"/>
      <c r="B49" s="8">
        <v>3</v>
      </c>
      <c r="C49" s="40">
        <v>0.5</v>
      </c>
      <c r="D49" s="8">
        <v>0.9</v>
      </c>
      <c r="E49" s="79"/>
    </row>
    <row r="50" spans="1:5" x14ac:dyDescent="0.15">
      <c r="A50" s="16"/>
      <c r="B50" s="30">
        <v>4</v>
      </c>
      <c r="C50" s="41">
        <v>0.1</v>
      </c>
      <c r="D50" s="30">
        <v>0.9</v>
      </c>
      <c r="E50" s="79"/>
    </row>
    <row r="51" spans="1:5" x14ac:dyDescent="0.15">
      <c r="A51" s="1" t="s">
        <v>154</v>
      </c>
      <c r="B51" s="8">
        <v>1</v>
      </c>
      <c r="C51" s="199">
        <v>0.2</v>
      </c>
      <c r="D51" s="8">
        <v>0.4</v>
      </c>
      <c r="E51" s="199"/>
    </row>
    <row r="52" spans="1:5" x14ac:dyDescent="0.15">
      <c r="A52" s="1"/>
      <c r="B52" s="8">
        <v>2</v>
      </c>
      <c r="C52" s="40">
        <v>0.4</v>
      </c>
      <c r="D52" s="8">
        <v>0.8</v>
      </c>
      <c r="E52" s="79"/>
    </row>
    <row r="53" spans="1:5" x14ac:dyDescent="0.15">
      <c r="A53" s="1"/>
      <c r="B53" s="8">
        <v>3</v>
      </c>
      <c r="C53" s="40">
        <v>0.55000000000000004</v>
      </c>
      <c r="D53" s="8">
        <v>1.05</v>
      </c>
      <c r="E53" s="79"/>
    </row>
    <row r="54" spans="1:5" x14ac:dyDescent="0.15">
      <c r="A54" s="16"/>
      <c r="B54" s="30">
        <v>4</v>
      </c>
      <c r="C54" s="41">
        <v>0.2</v>
      </c>
      <c r="D54" s="30">
        <v>0.5</v>
      </c>
      <c r="E54" s="79"/>
    </row>
    <row r="55" spans="1:5" x14ac:dyDescent="0.15">
      <c r="A55" s="1" t="s">
        <v>103</v>
      </c>
      <c r="B55" s="1">
        <v>1</v>
      </c>
      <c r="C55" s="79">
        <v>0.2</v>
      </c>
      <c r="D55" s="1">
        <v>0.4</v>
      </c>
      <c r="E55" s="79"/>
    </row>
    <row r="56" spans="1:5" x14ac:dyDescent="0.15">
      <c r="A56" s="13"/>
      <c r="B56" s="1">
        <v>2</v>
      </c>
      <c r="C56" s="79">
        <v>0.8</v>
      </c>
      <c r="D56" s="1">
        <v>0.9</v>
      </c>
      <c r="E56" s="79"/>
    </row>
    <row r="57" spans="1:5" x14ac:dyDescent="0.15">
      <c r="A57" s="13"/>
      <c r="B57" s="1">
        <v>3</v>
      </c>
      <c r="C57" s="79">
        <v>1</v>
      </c>
      <c r="D57" s="1">
        <v>1.1499999999999999</v>
      </c>
      <c r="E57" s="79"/>
    </row>
    <row r="58" spans="1:5" x14ac:dyDescent="0.15">
      <c r="A58" s="15"/>
      <c r="B58" s="16">
        <v>4</v>
      </c>
      <c r="C58" s="80">
        <v>0.2</v>
      </c>
      <c r="D58" s="16">
        <v>0.5</v>
      </c>
      <c r="E58" s="79"/>
    </row>
    <row r="59" spans="1:5" x14ac:dyDescent="0.15">
      <c r="A59" s="1" t="s">
        <v>360</v>
      </c>
      <c r="B59" s="8">
        <v>1</v>
      </c>
      <c r="C59" s="79">
        <v>0.2</v>
      </c>
      <c r="D59" s="8">
        <v>0.4</v>
      </c>
      <c r="E59" s="79"/>
    </row>
    <row r="60" spans="1:5" x14ac:dyDescent="0.15">
      <c r="A60" s="1"/>
      <c r="B60" s="8">
        <v>2</v>
      </c>
      <c r="C60" s="79">
        <v>1.1000000000000001</v>
      </c>
      <c r="D60" s="8">
        <v>0.9</v>
      </c>
      <c r="E60" s="79"/>
    </row>
    <row r="61" spans="1:5" x14ac:dyDescent="0.15">
      <c r="A61" s="1"/>
      <c r="B61" s="8">
        <v>3</v>
      </c>
      <c r="C61" s="79">
        <v>0.75</v>
      </c>
      <c r="D61" s="8">
        <v>1.1499999999999999</v>
      </c>
      <c r="E61" s="79"/>
    </row>
    <row r="62" spans="1:5" x14ac:dyDescent="0.15">
      <c r="A62" s="16"/>
      <c r="B62" s="30">
        <v>4</v>
      </c>
      <c r="C62" s="80">
        <v>0.2</v>
      </c>
      <c r="D62" s="30">
        <v>0.35</v>
      </c>
      <c r="E62" s="79"/>
    </row>
    <row r="63" spans="1:5" x14ac:dyDescent="0.15">
      <c r="A63" s="1" t="s">
        <v>359</v>
      </c>
      <c r="B63" s="8">
        <v>1</v>
      </c>
      <c r="C63" s="79">
        <v>0.2</v>
      </c>
      <c r="D63" s="8">
        <v>0.4</v>
      </c>
      <c r="E63" s="79"/>
    </row>
    <row r="64" spans="1:5" x14ac:dyDescent="0.15">
      <c r="A64" s="1"/>
      <c r="B64" s="8">
        <v>2</v>
      </c>
      <c r="C64" s="79">
        <v>1.1000000000000001</v>
      </c>
      <c r="D64" s="8">
        <v>0.9</v>
      </c>
      <c r="E64" s="79"/>
    </row>
    <row r="65" spans="1:6" x14ac:dyDescent="0.15">
      <c r="A65" s="1"/>
      <c r="B65" s="8">
        <v>3</v>
      </c>
      <c r="C65" s="79">
        <v>0.75</v>
      </c>
      <c r="D65" s="8">
        <v>1.1499999999999999</v>
      </c>
      <c r="E65" s="79"/>
    </row>
    <row r="66" spans="1:6" x14ac:dyDescent="0.15">
      <c r="A66" s="16"/>
      <c r="B66" s="30">
        <v>4</v>
      </c>
      <c r="C66" s="80">
        <v>0.2</v>
      </c>
      <c r="D66" s="30">
        <v>0.35</v>
      </c>
      <c r="E66" s="79"/>
    </row>
    <row r="67" spans="1:6" x14ac:dyDescent="0.15">
      <c r="A67" s="11" t="s">
        <v>156</v>
      </c>
      <c r="B67" s="12">
        <v>1</v>
      </c>
      <c r="C67" s="91">
        <v>0.75</v>
      </c>
      <c r="D67" s="12">
        <v>1</v>
      </c>
      <c r="E67" s="79"/>
    </row>
    <row r="68" spans="1:6" x14ac:dyDescent="0.15">
      <c r="A68" s="1"/>
      <c r="B68" s="8">
        <v>2</v>
      </c>
      <c r="C68" s="40">
        <v>1.2</v>
      </c>
      <c r="D68" s="8">
        <v>1</v>
      </c>
      <c r="E68" s="79"/>
    </row>
    <row r="69" spans="1:6" x14ac:dyDescent="0.15">
      <c r="A69" s="1"/>
      <c r="B69" s="8">
        <v>3</v>
      </c>
      <c r="C69" s="40">
        <v>0.5</v>
      </c>
      <c r="D69" s="8">
        <v>1</v>
      </c>
      <c r="E69" s="79"/>
    </row>
    <row r="70" spans="1:6" x14ac:dyDescent="0.15">
      <c r="A70" s="16"/>
      <c r="B70" s="30">
        <v>4</v>
      </c>
      <c r="C70" s="41">
        <v>0.1</v>
      </c>
      <c r="D70" s="30">
        <v>1</v>
      </c>
      <c r="E70" s="79"/>
    </row>
    <row r="71" spans="1:6" x14ac:dyDescent="0.15">
      <c r="A71" s="1" t="s">
        <v>229</v>
      </c>
      <c r="B71" s="8">
        <v>1</v>
      </c>
      <c r="C71" s="40">
        <v>0.4</v>
      </c>
      <c r="D71" s="8">
        <v>0.5</v>
      </c>
      <c r="E71" s="79"/>
    </row>
    <row r="72" spans="1:6" x14ac:dyDescent="0.15">
      <c r="A72" s="1"/>
      <c r="B72" s="8">
        <v>2</v>
      </c>
      <c r="C72" s="40">
        <v>1.1000000000000001</v>
      </c>
      <c r="D72" s="8">
        <v>0.85</v>
      </c>
      <c r="E72" s="79"/>
    </row>
    <row r="73" spans="1:6" x14ac:dyDescent="0.15">
      <c r="A73" s="1"/>
      <c r="B73" s="8">
        <v>3</v>
      </c>
      <c r="C73" s="40">
        <v>0.8</v>
      </c>
      <c r="D73" s="8">
        <v>1.2</v>
      </c>
      <c r="E73" s="79"/>
    </row>
    <row r="74" spans="1:6" x14ac:dyDescent="0.15">
      <c r="A74" s="16"/>
      <c r="B74" s="30">
        <v>4</v>
      </c>
      <c r="C74" s="41">
        <v>0.4</v>
      </c>
      <c r="D74" s="30">
        <v>0.8</v>
      </c>
      <c r="E74" s="79"/>
    </row>
    <row r="75" spans="1:6" x14ac:dyDescent="0.15">
      <c r="A75" t="s">
        <v>157</v>
      </c>
      <c r="B75" s="8">
        <v>1</v>
      </c>
      <c r="C75" s="219">
        <v>0.6</v>
      </c>
      <c r="D75" s="213">
        <v>0.3</v>
      </c>
      <c r="E75" s="219"/>
      <c r="F75" s="213"/>
    </row>
    <row r="76" spans="1:6" x14ac:dyDescent="0.15">
      <c r="B76" s="8">
        <v>2</v>
      </c>
      <c r="C76" s="219">
        <v>0.33</v>
      </c>
      <c r="D76" s="213">
        <v>0.5</v>
      </c>
      <c r="E76" s="219"/>
      <c r="F76" s="213"/>
    </row>
    <row r="77" spans="1:6" x14ac:dyDescent="0.15">
      <c r="B77" s="8">
        <v>3</v>
      </c>
      <c r="C77" s="219">
        <v>0.7</v>
      </c>
      <c r="D77" s="213">
        <v>0.8</v>
      </c>
      <c r="E77" s="219"/>
      <c r="F77" s="213"/>
    </row>
    <row r="78" spans="1:6" x14ac:dyDescent="0.15">
      <c r="B78" s="8">
        <v>4</v>
      </c>
      <c r="C78" s="219">
        <v>0.2</v>
      </c>
      <c r="D78" s="213">
        <v>0.3</v>
      </c>
      <c r="E78" s="219"/>
      <c r="F78" s="213"/>
    </row>
    <row r="79" spans="1:6" x14ac:dyDescent="0.15">
      <c r="A79" s="12" t="s">
        <v>181</v>
      </c>
      <c r="B79" s="12">
        <v>1</v>
      </c>
      <c r="C79" s="162">
        <v>0.4</v>
      </c>
      <c r="D79" s="12">
        <v>0.45</v>
      </c>
      <c r="E79" s="79"/>
    </row>
    <row r="80" spans="1:6" x14ac:dyDescent="0.15">
      <c r="A80" s="8"/>
      <c r="B80" s="8">
        <v>2</v>
      </c>
      <c r="C80" s="79">
        <v>1.5</v>
      </c>
      <c r="D80" s="8">
        <v>0.84</v>
      </c>
      <c r="E80" s="79"/>
    </row>
    <row r="81" spans="1:5" x14ac:dyDescent="0.15">
      <c r="A81" s="8"/>
      <c r="B81" s="8">
        <v>3</v>
      </c>
      <c r="C81" s="79">
        <v>0.5</v>
      </c>
      <c r="D81" s="8">
        <v>1.1000000000000001</v>
      </c>
      <c r="E81" s="79"/>
    </row>
    <row r="82" spans="1:5" x14ac:dyDescent="0.15">
      <c r="A82" s="8"/>
      <c r="B82" s="8">
        <v>4</v>
      </c>
      <c r="C82" s="79">
        <v>0.2</v>
      </c>
      <c r="D82" s="8">
        <v>0.55000000000000004</v>
      </c>
      <c r="E82" s="79"/>
    </row>
    <row r="83" spans="1:5" x14ac:dyDescent="0.15">
      <c r="A83" s="12" t="s">
        <v>182</v>
      </c>
      <c r="B83" s="12">
        <v>1</v>
      </c>
      <c r="C83" s="162">
        <f>0.2</f>
        <v>0.2</v>
      </c>
      <c r="D83" s="12">
        <v>0</v>
      </c>
      <c r="E83" s="79"/>
    </row>
    <row r="84" spans="1:5" x14ac:dyDescent="0.15">
      <c r="A84" s="8"/>
      <c r="B84" s="8">
        <v>2</v>
      </c>
      <c r="C84" s="79">
        <v>0.8</v>
      </c>
      <c r="D84" s="8">
        <v>0.55000000000000004</v>
      </c>
      <c r="E84" s="79"/>
    </row>
    <row r="85" spans="1:5" x14ac:dyDescent="0.15">
      <c r="A85" s="8"/>
      <c r="B85" s="8">
        <v>3</v>
      </c>
      <c r="C85" s="79">
        <v>0.6</v>
      </c>
      <c r="D85" s="8">
        <v>1.1499999999999999</v>
      </c>
      <c r="E85" s="79"/>
    </row>
    <row r="86" spans="1:5" x14ac:dyDescent="0.15">
      <c r="A86" s="8"/>
      <c r="B86" s="8">
        <v>4</v>
      </c>
      <c r="C86" s="79">
        <v>0.2</v>
      </c>
      <c r="D86" s="8">
        <v>0.6</v>
      </c>
      <c r="E86" s="79"/>
    </row>
    <row r="87" spans="1:5" x14ac:dyDescent="0.15">
      <c r="A87" s="12" t="s">
        <v>184</v>
      </c>
      <c r="B87" s="12">
        <v>1</v>
      </c>
      <c r="C87" s="162">
        <v>0.6</v>
      </c>
      <c r="D87" s="12">
        <v>0</v>
      </c>
      <c r="E87" s="79"/>
    </row>
    <row r="88" spans="1:5" x14ac:dyDescent="0.15">
      <c r="A88" s="8"/>
      <c r="B88" s="8">
        <v>2</v>
      </c>
      <c r="C88" s="79">
        <v>0.33</v>
      </c>
      <c r="D88" s="8">
        <v>0.55000000000000004</v>
      </c>
      <c r="E88" s="79"/>
    </row>
    <row r="89" spans="1:5" x14ac:dyDescent="0.15">
      <c r="A89" s="8"/>
      <c r="B89" s="8">
        <v>3</v>
      </c>
      <c r="C89" s="79">
        <v>0.7</v>
      </c>
      <c r="D89" s="8">
        <v>1.1499999999999999</v>
      </c>
      <c r="E89" s="79"/>
    </row>
    <row r="90" spans="1:5" ht="12" thickBot="1" x14ac:dyDescent="0.2">
      <c r="A90" s="65"/>
      <c r="B90" s="65">
        <v>4</v>
      </c>
      <c r="C90" s="168">
        <v>0.2</v>
      </c>
      <c r="D90" s="65">
        <v>0.7</v>
      </c>
      <c r="E90" s="79"/>
    </row>
    <row r="91" spans="1:5" x14ac:dyDescent="0.15">
      <c r="A91" s="1"/>
      <c r="B91" s="1"/>
      <c r="C91" s="79"/>
      <c r="D91" s="1"/>
      <c r="E91" s="8"/>
    </row>
    <row r="92" spans="1:5" x14ac:dyDescent="0.15">
      <c r="A92" s="1"/>
      <c r="B92" s="1"/>
      <c r="C92" s="79"/>
      <c r="D92" s="1"/>
      <c r="E92" s="8"/>
    </row>
    <row r="93" spans="1:5" x14ac:dyDescent="0.15">
      <c r="A93" s="1"/>
      <c r="B93" s="1"/>
      <c r="C93" s="79"/>
      <c r="D93" s="1"/>
      <c r="E93" s="8"/>
    </row>
    <row r="94" spans="1:5" x14ac:dyDescent="0.15">
      <c r="A94" s="1"/>
      <c r="B94" s="1"/>
      <c r="C94" s="79"/>
      <c r="D94" s="1"/>
      <c r="E94" s="8"/>
    </row>
    <row r="95" spans="1:5" x14ac:dyDescent="0.15">
      <c r="A95" s="1"/>
      <c r="B95" s="1"/>
      <c r="C95" s="166"/>
      <c r="D95" s="1"/>
      <c r="E95" s="8"/>
    </row>
    <row r="96" spans="1:5" x14ac:dyDescent="0.15">
      <c r="A96" s="1"/>
      <c r="B96" s="1"/>
      <c r="C96" s="166"/>
      <c r="D96" s="1"/>
      <c r="E96" s="8"/>
    </row>
    <row r="97" spans="1:5" x14ac:dyDescent="0.15">
      <c r="A97" s="1"/>
      <c r="B97" s="8"/>
      <c r="C97" s="79"/>
      <c r="D97" s="8"/>
      <c r="E97" s="8"/>
    </row>
    <row r="98" spans="1:5" x14ac:dyDescent="0.15">
      <c r="A98" s="1"/>
      <c r="B98" s="8"/>
      <c r="C98" s="166"/>
      <c r="D98" s="8"/>
      <c r="E98" s="8"/>
    </row>
    <row r="99" spans="1:5" x14ac:dyDescent="0.15">
      <c r="A99" s="1"/>
      <c r="B99" s="1"/>
      <c r="C99" s="79"/>
      <c r="D99" s="1"/>
      <c r="E99" s="8"/>
    </row>
    <row r="100" spans="1:5" x14ac:dyDescent="0.15">
      <c r="A100" s="1"/>
      <c r="B100" s="8"/>
      <c r="C100" s="79"/>
      <c r="D100" s="8"/>
      <c r="E100" s="1"/>
    </row>
    <row r="101" spans="1:5" x14ac:dyDescent="0.15">
      <c r="A101" s="1"/>
      <c r="B101" s="8"/>
      <c r="C101" s="79"/>
      <c r="D101" s="8"/>
      <c r="E101" s="8"/>
    </row>
    <row r="102" spans="1:5" x14ac:dyDescent="0.15">
      <c r="A102" s="1"/>
      <c r="B102" s="8"/>
      <c r="C102" s="79"/>
      <c r="D102" s="8"/>
      <c r="E102" s="8"/>
    </row>
    <row r="103" spans="1:5" x14ac:dyDescent="0.15">
      <c r="A103" s="8"/>
      <c r="B103" s="8"/>
      <c r="C103" s="79"/>
      <c r="D103" s="8"/>
      <c r="E103" s="8"/>
    </row>
    <row r="104" spans="1:5" x14ac:dyDescent="0.15">
      <c r="A104" s="8"/>
      <c r="B104" s="8"/>
      <c r="C104" s="79"/>
      <c r="D104" s="8"/>
      <c r="E104" s="8"/>
    </row>
    <row r="105" spans="1:5" x14ac:dyDescent="0.15">
      <c r="A105" s="8"/>
      <c r="B105" s="8"/>
      <c r="C105" s="79"/>
      <c r="D105" s="8"/>
      <c r="E105" s="8"/>
    </row>
  </sheetData>
  <hyperlinks>
    <hyperlink ref="A9" r:id="rId1"/>
    <hyperlink ref="A10" r:id="rId2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showGridLines="0" topLeftCell="A11" zoomScaleNormal="100" workbookViewId="0">
      <selection activeCell="J23" sqref="J23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474</v>
      </c>
      <c r="D1" s="2"/>
      <c r="E1" s="2"/>
      <c r="F1" s="2"/>
      <c r="G1" s="2"/>
    </row>
    <row r="2" spans="1:10" ht="13.9" customHeight="1" x14ac:dyDescent="0.15">
      <c r="A2" s="5" t="s">
        <v>30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ht="13.9" customHeight="1" x14ac:dyDescent="0.15">
      <c r="A5" s="197"/>
      <c r="B5" s="98"/>
      <c r="C5" s="8"/>
      <c r="D5" s="8"/>
      <c r="E5" s="78"/>
      <c r="F5" s="8"/>
      <c r="G5" s="8"/>
      <c r="H5" s="8"/>
      <c r="I5" s="8"/>
      <c r="J5" s="78"/>
    </row>
    <row r="6" spans="1:10" ht="13.9" customHeight="1" x14ac:dyDescent="0.15">
      <c r="A6" s="197" t="s">
        <v>135</v>
      </c>
      <c r="B6" s="2"/>
      <c r="E6" s="78"/>
      <c r="F6" s="37"/>
      <c r="G6" s="8"/>
      <c r="H6" s="8"/>
      <c r="I6" s="8"/>
      <c r="J6" s="78"/>
    </row>
    <row r="7" spans="1:10" ht="13.9" customHeight="1" x14ac:dyDescent="0.15">
      <c r="A7" s="38" t="s">
        <v>320</v>
      </c>
      <c r="E7" s="78"/>
      <c r="F7" s="8"/>
      <c r="G7" s="8"/>
      <c r="H7" s="8"/>
      <c r="I7" s="8"/>
      <c r="J7" s="78"/>
    </row>
    <row r="8" spans="1:10" ht="13.9" customHeight="1" x14ac:dyDescent="0.15">
      <c r="A8" s="38" t="s">
        <v>396</v>
      </c>
      <c r="B8" s="195"/>
      <c r="C8" s="8"/>
      <c r="D8" s="8"/>
      <c r="E8" s="78"/>
      <c r="F8" s="67"/>
      <c r="G8" s="8"/>
      <c r="H8" s="8"/>
      <c r="I8" s="8"/>
      <c r="J8" s="78"/>
    </row>
    <row r="9" spans="1:10" ht="13.9" customHeight="1" x14ac:dyDescent="0.15">
      <c r="A9" t="s">
        <v>476</v>
      </c>
      <c r="B9" s="8"/>
      <c r="C9" s="8"/>
      <c r="D9" s="8"/>
      <c r="E9" s="78"/>
      <c r="F9" s="67"/>
      <c r="G9" s="8"/>
      <c r="H9" s="79"/>
      <c r="I9" s="79"/>
      <c r="J9" s="193"/>
    </row>
    <row r="10" spans="1:10" ht="13.9" customHeight="1" x14ac:dyDescent="0.15">
      <c r="A10" s="38" t="s">
        <v>475</v>
      </c>
      <c r="B10" s="8"/>
      <c r="C10" s="8"/>
      <c r="D10" s="8"/>
      <c r="E10" s="78"/>
      <c r="F10" s="67"/>
      <c r="G10" s="8"/>
      <c r="H10" s="8"/>
      <c r="I10" s="8"/>
      <c r="J10" s="78"/>
    </row>
    <row r="11" spans="1:10" ht="13.9" customHeight="1" x14ac:dyDescent="0.15">
      <c r="A11" t="s">
        <v>199</v>
      </c>
      <c r="B11" s="8"/>
      <c r="C11" s="8"/>
      <c r="D11" s="8"/>
      <c r="E11" s="78"/>
      <c r="F11" s="67"/>
      <c r="G11" s="8"/>
      <c r="H11" s="8"/>
      <c r="I11" s="8"/>
      <c r="J11" s="78"/>
    </row>
    <row r="12" spans="1:10" ht="13.9" customHeight="1" x14ac:dyDescent="0.15">
      <c r="A12" s="198" t="s">
        <v>393</v>
      </c>
      <c r="B12" s="37"/>
      <c r="C12" s="37"/>
      <c r="D12" s="37"/>
      <c r="E12" s="78"/>
      <c r="F12" s="37"/>
      <c r="G12" s="37"/>
      <c r="H12" s="37"/>
      <c r="I12" s="8"/>
      <c r="J12" s="78"/>
    </row>
    <row r="13" spans="1:10" ht="13.9" customHeight="1" x14ac:dyDescent="0.15">
      <c r="A13" s="98" t="s">
        <v>394</v>
      </c>
      <c r="B13" s="37"/>
      <c r="C13" s="37"/>
      <c r="D13" s="37"/>
      <c r="E13" s="78"/>
      <c r="F13" s="37"/>
      <c r="G13" s="37"/>
      <c r="H13" s="37"/>
      <c r="I13" s="8"/>
      <c r="J13" s="78"/>
    </row>
    <row r="14" spans="1:10" ht="13.9" customHeight="1" x14ac:dyDescent="0.15">
      <c r="A14" s="137" t="s">
        <v>395</v>
      </c>
      <c r="B14" s="37"/>
      <c r="C14" s="37"/>
      <c r="D14" s="95"/>
      <c r="E14" s="78"/>
      <c r="F14" s="37"/>
      <c r="G14" s="37"/>
      <c r="H14" s="37"/>
      <c r="I14" s="8"/>
      <c r="J14" s="78"/>
    </row>
    <row r="15" spans="1:10" ht="13.9" customHeight="1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ht="13.9" customHeight="1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5" ht="13.9" customHeight="1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5" ht="13.9" customHeight="1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5" x14ac:dyDescent="0.15">
      <c r="A19" s="5"/>
    </row>
    <row r="20" spans="1:15" x14ac:dyDescent="0.15">
      <c r="A20" s="3" t="s">
        <v>1</v>
      </c>
      <c r="D20" s="4"/>
    </row>
    <row r="21" spans="1:15" x14ac:dyDescent="0.15">
      <c r="A21" s="3"/>
      <c r="C21" s="9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15">
      <c r="A22" s="7" t="s">
        <v>27</v>
      </c>
      <c r="B22" s="9" t="s">
        <v>26</v>
      </c>
      <c r="C22" s="231" t="s">
        <v>23</v>
      </c>
      <c r="D22" s="231" t="s">
        <v>24</v>
      </c>
      <c r="E22" s="231" t="s">
        <v>25</v>
      </c>
      <c r="F22" s="231" t="s">
        <v>14</v>
      </c>
      <c r="G22" s="231" t="s">
        <v>15</v>
      </c>
      <c r="H22" s="231" t="s">
        <v>16</v>
      </c>
      <c r="I22" s="231" t="s">
        <v>17</v>
      </c>
      <c r="J22" s="231" t="s">
        <v>18</v>
      </c>
      <c r="K22" s="231" t="s">
        <v>19</v>
      </c>
      <c r="L22" s="231" t="s">
        <v>20</v>
      </c>
      <c r="M22" s="231" t="s">
        <v>21</v>
      </c>
      <c r="N22" s="231" t="s">
        <v>22</v>
      </c>
      <c r="O22" s="1"/>
    </row>
    <row r="23" spans="1:15" x14ac:dyDescent="0.15">
      <c r="A23" s="10" t="s">
        <v>100</v>
      </c>
      <c r="B23" s="11">
        <v>1</v>
      </c>
      <c r="C23" s="10">
        <v>0</v>
      </c>
      <c r="D23" s="11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0.67</v>
      </c>
      <c r="K23" s="12">
        <v>0.33</v>
      </c>
      <c r="L23" s="12">
        <v>0</v>
      </c>
      <c r="M23" s="12">
        <v>0</v>
      </c>
      <c r="N23" s="11">
        <v>0</v>
      </c>
      <c r="O23" s="13"/>
    </row>
    <row r="24" spans="1:15" x14ac:dyDescent="0.15">
      <c r="A24" s="13"/>
      <c r="B24" s="1">
        <v>2</v>
      </c>
      <c r="C24" s="13">
        <v>0</v>
      </c>
      <c r="D24" s="1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0.67</v>
      </c>
      <c r="L24" s="8">
        <v>0.33</v>
      </c>
      <c r="M24" s="8">
        <v>0</v>
      </c>
      <c r="N24" s="1">
        <v>0</v>
      </c>
      <c r="O24" s="13"/>
    </row>
    <row r="25" spans="1:15" x14ac:dyDescent="0.15">
      <c r="A25" s="13"/>
      <c r="B25" s="1">
        <v>3</v>
      </c>
      <c r="C25" s="13">
        <v>0</v>
      </c>
      <c r="D25" s="1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0.67</v>
      </c>
      <c r="M25" s="8">
        <v>0.67</v>
      </c>
      <c r="N25" s="1">
        <v>0</v>
      </c>
      <c r="O25" s="13"/>
    </row>
    <row r="26" spans="1:15" x14ac:dyDescent="0.15">
      <c r="A26" s="15"/>
      <c r="B26" s="16">
        <v>4</v>
      </c>
      <c r="C26" s="15">
        <v>0</v>
      </c>
      <c r="D26" s="16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0.33</v>
      </c>
      <c r="N26" s="16">
        <v>0.67</v>
      </c>
      <c r="O26" s="13"/>
    </row>
    <row r="27" spans="1:15" x14ac:dyDescent="0.15">
      <c r="A27" s="10" t="s">
        <v>99</v>
      </c>
      <c r="B27" s="11">
        <v>1</v>
      </c>
      <c r="C27" s="10">
        <v>0</v>
      </c>
      <c r="D27" s="11">
        <v>1</v>
      </c>
      <c r="E27" s="11">
        <v>0.33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3"/>
    </row>
    <row r="28" spans="1:15" x14ac:dyDescent="0.15">
      <c r="A28" s="13"/>
      <c r="B28" s="1">
        <v>2</v>
      </c>
      <c r="C28" s="13">
        <v>0</v>
      </c>
      <c r="D28" s="1">
        <v>0</v>
      </c>
      <c r="E28" s="1">
        <v>0.67</v>
      </c>
      <c r="F28" s="1">
        <v>0.67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/>
    </row>
    <row r="29" spans="1:15" x14ac:dyDescent="0.15">
      <c r="A29" s="13"/>
      <c r="B29" s="1">
        <v>3</v>
      </c>
      <c r="C29" s="13">
        <v>0</v>
      </c>
      <c r="D29" s="1">
        <v>0</v>
      </c>
      <c r="E29" s="1">
        <v>0</v>
      </c>
      <c r="F29" s="1">
        <v>0.33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/>
    </row>
    <row r="30" spans="1:15" x14ac:dyDescent="0.15">
      <c r="A30" s="15"/>
      <c r="B30" s="16">
        <v>4</v>
      </c>
      <c r="C30" s="15">
        <v>0</v>
      </c>
      <c r="D30" s="16">
        <v>0</v>
      </c>
      <c r="E30" s="16">
        <v>0</v>
      </c>
      <c r="F30" s="16">
        <v>0</v>
      </c>
      <c r="G30" s="16">
        <v>0</v>
      </c>
      <c r="H30" s="16">
        <v>1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3"/>
    </row>
    <row r="31" spans="1:15" x14ac:dyDescent="0.15">
      <c r="A31" s="10" t="s">
        <v>101</v>
      </c>
      <c r="B31" s="11">
        <v>1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3"/>
    </row>
    <row r="32" spans="1:15" x14ac:dyDescent="0.15">
      <c r="A32" s="13"/>
      <c r="B32" s="1">
        <v>2</v>
      </c>
      <c r="C32" s="13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0.33</v>
      </c>
      <c r="L32" s="1">
        <v>0</v>
      </c>
      <c r="M32" s="1">
        <v>0</v>
      </c>
      <c r="N32" s="32">
        <v>0</v>
      </c>
      <c r="O32" s="13"/>
    </row>
    <row r="33" spans="1:15" x14ac:dyDescent="0.15">
      <c r="A33" s="13"/>
      <c r="B33" s="1">
        <v>3</v>
      </c>
      <c r="C33" s="31">
        <v>0</v>
      </c>
      <c r="D33" s="1">
        <v>0</v>
      </c>
      <c r="E33" s="1">
        <v>0</v>
      </c>
      <c r="F33" s="1">
        <v>0</v>
      </c>
      <c r="G33" s="1">
        <v>0</v>
      </c>
      <c r="H33" s="233">
        <v>0</v>
      </c>
      <c r="I33" s="70">
        <v>0</v>
      </c>
      <c r="J33" s="70">
        <v>0</v>
      </c>
      <c r="K33" s="232">
        <v>0.67</v>
      </c>
      <c r="L33" s="1">
        <v>1</v>
      </c>
      <c r="M33" s="1">
        <v>1</v>
      </c>
      <c r="N33" s="70">
        <v>1</v>
      </c>
      <c r="O33" s="13"/>
    </row>
    <row r="34" spans="1:15" x14ac:dyDescent="0.15">
      <c r="A34" s="15"/>
      <c r="B34" s="16">
        <v>4</v>
      </c>
      <c r="C34" s="15">
        <v>1</v>
      </c>
      <c r="D34" s="16">
        <v>0.33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71">
        <v>0</v>
      </c>
      <c r="O34" s="13"/>
    </row>
    <row r="35" spans="1:15" x14ac:dyDescent="0.15">
      <c r="A35" s="10" t="s">
        <v>102</v>
      </c>
      <c r="B35" s="11">
        <v>1</v>
      </c>
      <c r="C35" s="10">
        <v>1</v>
      </c>
      <c r="D35" s="11">
        <v>1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72">
        <v>0</v>
      </c>
      <c r="O35" s="13"/>
    </row>
    <row r="36" spans="1:15" x14ac:dyDescent="0.15">
      <c r="A36" s="13"/>
      <c r="B36" s="1">
        <v>2</v>
      </c>
      <c r="C36" s="13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2">
        <v>0</v>
      </c>
      <c r="O36" s="13"/>
    </row>
    <row r="37" spans="1:15" x14ac:dyDescent="0.15">
      <c r="A37" s="13"/>
      <c r="B37" s="1">
        <v>3</v>
      </c>
      <c r="C37" s="3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70">
        <v>0</v>
      </c>
      <c r="O37" s="13"/>
    </row>
    <row r="38" spans="1:15" x14ac:dyDescent="0.15">
      <c r="A38" s="15"/>
      <c r="B38" s="16">
        <v>4</v>
      </c>
      <c r="C38" s="15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1</v>
      </c>
      <c r="N38" s="16">
        <v>1</v>
      </c>
      <c r="O38" s="13"/>
    </row>
    <row r="39" spans="1:15" x14ac:dyDescent="0.15">
      <c r="A39" s="10" t="s">
        <v>104</v>
      </c>
      <c r="B39" s="11">
        <v>1</v>
      </c>
      <c r="C39" s="10">
        <v>0</v>
      </c>
      <c r="D39" s="11">
        <v>0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72">
        <v>0</v>
      </c>
      <c r="O39" s="13"/>
    </row>
    <row r="40" spans="1:15" x14ac:dyDescent="0.15">
      <c r="A40" s="13"/>
      <c r="B40" s="1">
        <v>2</v>
      </c>
      <c r="C40" s="13">
        <v>0</v>
      </c>
      <c r="D40" s="1">
        <v>0</v>
      </c>
      <c r="E40" s="1">
        <v>0</v>
      </c>
      <c r="F40" s="1">
        <v>1</v>
      </c>
      <c r="G40" s="1">
        <v>0.33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32">
        <v>0</v>
      </c>
      <c r="O40" s="13"/>
    </row>
    <row r="41" spans="1:15" x14ac:dyDescent="0.15">
      <c r="A41" s="13"/>
      <c r="B41" s="1">
        <v>3</v>
      </c>
      <c r="C41" s="31">
        <v>0</v>
      </c>
      <c r="D41" s="1">
        <v>0</v>
      </c>
      <c r="E41" s="1">
        <v>0</v>
      </c>
      <c r="F41" s="1">
        <v>0</v>
      </c>
      <c r="G41" s="1">
        <v>0.67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70">
        <v>0</v>
      </c>
      <c r="O41" s="13"/>
    </row>
    <row r="42" spans="1:15" x14ac:dyDescent="0.15">
      <c r="A42" s="15"/>
      <c r="B42" s="16">
        <v>4</v>
      </c>
      <c r="C42" s="15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3"/>
    </row>
    <row r="43" spans="1:15" x14ac:dyDescent="0.15">
      <c r="A43" s="10" t="s">
        <v>105</v>
      </c>
      <c r="B43" s="18">
        <v>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0.67</v>
      </c>
      <c r="K43" s="11">
        <v>0.33</v>
      </c>
      <c r="L43" s="11">
        <v>0</v>
      </c>
      <c r="M43" s="11">
        <v>0</v>
      </c>
      <c r="N43" s="72">
        <v>0</v>
      </c>
      <c r="O43" s="13"/>
    </row>
    <row r="44" spans="1:15" x14ac:dyDescent="0.15">
      <c r="A44" s="13"/>
      <c r="B44" s="14">
        <v>2</v>
      </c>
      <c r="C44" s="1">
        <v>0</v>
      </c>
      <c r="D44" s="1">
        <v>0</v>
      </c>
      <c r="E44" s="1">
        <v>0</v>
      </c>
      <c r="F44" s="1">
        <v>0</v>
      </c>
      <c r="G44" s="8">
        <v>0</v>
      </c>
      <c r="H44" s="8">
        <v>0</v>
      </c>
      <c r="I44" s="8">
        <v>0</v>
      </c>
      <c r="J44" s="8">
        <v>0</v>
      </c>
      <c r="K44" s="8">
        <v>0.67</v>
      </c>
      <c r="L44" s="1">
        <v>0.67</v>
      </c>
      <c r="M44" s="1">
        <v>0</v>
      </c>
      <c r="N44" s="32">
        <v>0</v>
      </c>
      <c r="O44" s="13"/>
    </row>
    <row r="45" spans="1:15" x14ac:dyDescent="0.15">
      <c r="A45" s="13"/>
      <c r="B45" s="14">
        <v>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0.33</v>
      </c>
      <c r="M45" s="1">
        <v>1</v>
      </c>
      <c r="N45" s="70">
        <v>0.33</v>
      </c>
      <c r="O45" s="13"/>
    </row>
    <row r="46" spans="1:15" x14ac:dyDescent="0.15">
      <c r="A46" s="13"/>
      <c r="B46" s="14">
        <v>4</v>
      </c>
      <c r="C46" s="1">
        <v>0.33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0.67</v>
      </c>
      <c r="O46" s="13"/>
    </row>
    <row r="47" spans="1:15" x14ac:dyDescent="0.15">
      <c r="A47" s="73" t="s">
        <v>153</v>
      </c>
      <c r="B47" s="77">
        <v>1</v>
      </c>
      <c r="C47" s="10">
        <v>1</v>
      </c>
      <c r="D47" s="11">
        <v>1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82">
        <v>0</v>
      </c>
      <c r="O47" s="1"/>
    </row>
    <row r="48" spans="1:15" x14ac:dyDescent="0.15">
      <c r="A48" s="67"/>
      <c r="B48" s="78">
        <v>2</v>
      </c>
      <c r="C48" s="13">
        <v>0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74">
        <v>0</v>
      </c>
      <c r="O48" s="1"/>
    </row>
    <row r="49" spans="1:15" x14ac:dyDescent="0.15">
      <c r="A49" s="67"/>
      <c r="B49" s="78">
        <v>3</v>
      </c>
      <c r="C49" s="3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83">
        <v>0</v>
      </c>
      <c r="O49" s="1"/>
    </row>
    <row r="50" spans="1:15" x14ac:dyDescent="0.15">
      <c r="A50" s="75"/>
      <c r="B50" s="76">
        <v>4</v>
      </c>
      <c r="C50" s="15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1</v>
      </c>
      <c r="M50" s="16">
        <v>1</v>
      </c>
      <c r="N50" s="17">
        <v>1</v>
      </c>
    </row>
    <row r="51" spans="1:15" x14ac:dyDescent="0.15">
      <c r="A51" s="12" t="s">
        <v>154</v>
      </c>
      <c r="B51" s="77">
        <v>1</v>
      </c>
      <c r="C51" s="73">
        <v>0</v>
      </c>
      <c r="D51" s="12">
        <v>0</v>
      </c>
      <c r="E51" s="12">
        <v>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77">
        <v>0</v>
      </c>
    </row>
    <row r="52" spans="1:15" x14ac:dyDescent="0.15">
      <c r="A52" s="1"/>
      <c r="B52" s="78">
        <v>2</v>
      </c>
      <c r="C52" s="67">
        <v>0</v>
      </c>
      <c r="D52" s="8">
        <v>0</v>
      </c>
      <c r="E52" s="8">
        <v>0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8">
        <v>0</v>
      </c>
    </row>
    <row r="53" spans="1:15" x14ac:dyDescent="0.15">
      <c r="A53" s="1"/>
      <c r="B53" s="78">
        <v>3</v>
      </c>
      <c r="C53" s="67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8">
        <v>0</v>
      </c>
    </row>
    <row r="54" spans="1:15" x14ac:dyDescent="0.15">
      <c r="A54" s="16"/>
      <c r="B54" s="76">
        <v>4</v>
      </c>
      <c r="C54" s="75">
        <v>0</v>
      </c>
      <c r="D54" s="30">
        <v>0</v>
      </c>
      <c r="E54" s="30">
        <v>0</v>
      </c>
      <c r="F54" s="30">
        <v>0</v>
      </c>
      <c r="G54" s="30">
        <v>0</v>
      </c>
      <c r="H54" s="30">
        <v>1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76">
        <v>0</v>
      </c>
    </row>
    <row r="55" spans="1:15" x14ac:dyDescent="0.15">
      <c r="A55" s="11" t="s">
        <v>103</v>
      </c>
      <c r="B55" s="77">
        <v>1</v>
      </c>
      <c r="C55" s="73">
        <v>0</v>
      </c>
      <c r="D55" s="12">
        <v>0</v>
      </c>
      <c r="E55" s="12">
        <v>1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77">
        <v>0</v>
      </c>
    </row>
    <row r="56" spans="1:15" x14ac:dyDescent="0.15">
      <c r="A56" s="1"/>
      <c r="B56" s="78">
        <v>2</v>
      </c>
      <c r="C56" s="67">
        <v>0</v>
      </c>
      <c r="D56" s="8">
        <v>0</v>
      </c>
      <c r="E56" s="8">
        <v>0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8">
        <v>0</v>
      </c>
    </row>
    <row r="57" spans="1:15" x14ac:dyDescent="0.15">
      <c r="A57" s="1"/>
      <c r="B57" s="78">
        <v>3</v>
      </c>
      <c r="C57" s="67">
        <v>0</v>
      </c>
      <c r="D57" s="8">
        <v>0</v>
      </c>
      <c r="E57" s="8">
        <v>0</v>
      </c>
      <c r="F57" s="8">
        <v>0</v>
      </c>
      <c r="G57" s="8">
        <v>1</v>
      </c>
      <c r="H57" s="8">
        <v>0.67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8">
        <v>0</v>
      </c>
    </row>
    <row r="58" spans="1:15" x14ac:dyDescent="0.15">
      <c r="A58" s="16"/>
      <c r="B58" s="76">
        <v>4</v>
      </c>
      <c r="C58" s="75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0.33</v>
      </c>
      <c r="I58" s="30">
        <v>0.67</v>
      </c>
      <c r="J58" s="30">
        <v>0</v>
      </c>
      <c r="K58" s="30">
        <v>0</v>
      </c>
      <c r="L58" s="30">
        <v>0</v>
      </c>
      <c r="M58" s="30">
        <v>0</v>
      </c>
      <c r="N58" s="76">
        <v>0</v>
      </c>
    </row>
    <row r="59" spans="1:15" x14ac:dyDescent="0.15">
      <c r="A59" s="11" t="s">
        <v>359</v>
      </c>
      <c r="B59" s="77">
        <v>1</v>
      </c>
      <c r="C59" s="73">
        <v>0</v>
      </c>
      <c r="D59" s="12">
        <v>0.33</v>
      </c>
      <c r="E59" s="12">
        <v>0.67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77">
        <v>0</v>
      </c>
    </row>
    <row r="60" spans="1:15" x14ac:dyDescent="0.15">
      <c r="A60" s="1"/>
      <c r="B60" s="78">
        <v>2</v>
      </c>
      <c r="C60" s="8">
        <v>0</v>
      </c>
      <c r="D60" s="8">
        <v>0</v>
      </c>
      <c r="E60" s="8">
        <v>0.33</v>
      </c>
      <c r="F60" s="8">
        <v>0.33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8">
        <v>0</v>
      </c>
    </row>
    <row r="61" spans="1:15" x14ac:dyDescent="0.15">
      <c r="A61" s="1"/>
      <c r="B61" s="78">
        <v>3</v>
      </c>
      <c r="C61" s="8">
        <v>0</v>
      </c>
      <c r="D61" s="8">
        <v>0</v>
      </c>
      <c r="E61" s="8">
        <v>0</v>
      </c>
      <c r="F61" s="8">
        <v>0.67</v>
      </c>
      <c r="G61" s="8">
        <v>0.67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8">
        <v>0</v>
      </c>
    </row>
    <row r="62" spans="1:15" x14ac:dyDescent="0.15">
      <c r="A62" s="16"/>
      <c r="B62" s="76">
        <v>4</v>
      </c>
      <c r="C62" s="30">
        <v>0</v>
      </c>
      <c r="D62" s="30">
        <v>0</v>
      </c>
      <c r="E62" s="30">
        <v>0</v>
      </c>
      <c r="F62" s="30">
        <v>0</v>
      </c>
      <c r="G62" s="30">
        <v>0.33</v>
      </c>
      <c r="H62" s="8">
        <v>0.33</v>
      </c>
      <c r="I62" s="8">
        <v>0</v>
      </c>
      <c r="J62" s="30">
        <v>0</v>
      </c>
      <c r="K62" s="30">
        <v>0</v>
      </c>
      <c r="L62" s="30">
        <v>0</v>
      </c>
      <c r="M62" s="30">
        <v>0</v>
      </c>
      <c r="N62" s="76">
        <v>0</v>
      </c>
    </row>
    <row r="63" spans="1:15" x14ac:dyDescent="0.15">
      <c r="A63" s="11" t="s">
        <v>360</v>
      </c>
      <c r="B63" s="77">
        <v>1</v>
      </c>
      <c r="C63" s="73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0.33</v>
      </c>
      <c r="K63" s="12">
        <v>0.67</v>
      </c>
      <c r="L63" s="12">
        <v>0</v>
      </c>
      <c r="M63" s="12">
        <v>0</v>
      </c>
      <c r="N63" s="77">
        <v>0</v>
      </c>
    </row>
    <row r="64" spans="1:15" x14ac:dyDescent="0.15">
      <c r="A64" s="1"/>
      <c r="B64" s="78">
        <v>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0.33</v>
      </c>
      <c r="L64" s="8">
        <v>0.33</v>
      </c>
      <c r="M64" s="8">
        <v>0</v>
      </c>
      <c r="N64" s="78">
        <v>0</v>
      </c>
    </row>
    <row r="65" spans="1:16" x14ac:dyDescent="0.15">
      <c r="A65" s="1"/>
      <c r="B65" s="78">
        <v>3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0.67</v>
      </c>
      <c r="M65" s="8">
        <v>0.67</v>
      </c>
      <c r="N65" s="78">
        <v>0</v>
      </c>
    </row>
    <row r="66" spans="1:16" x14ac:dyDescent="0.15">
      <c r="A66" s="16"/>
      <c r="B66" s="76">
        <v>4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0.33</v>
      </c>
      <c r="N66" s="76">
        <v>0.33</v>
      </c>
    </row>
    <row r="67" spans="1:16" x14ac:dyDescent="0.15">
      <c r="A67" s="11" t="s">
        <v>156</v>
      </c>
      <c r="B67" s="11">
        <v>1</v>
      </c>
      <c r="C67" s="10">
        <v>1</v>
      </c>
      <c r="D67" s="11">
        <v>1</v>
      </c>
      <c r="E67" s="11">
        <v>1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82">
        <v>0</v>
      </c>
    </row>
    <row r="68" spans="1:16" x14ac:dyDescent="0.15">
      <c r="A68" s="1"/>
      <c r="B68" s="8">
        <v>2</v>
      </c>
      <c r="C68" s="13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74">
        <v>0</v>
      </c>
    </row>
    <row r="69" spans="1:16" x14ac:dyDescent="0.15">
      <c r="A69" s="1"/>
      <c r="B69" s="8">
        <v>3</v>
      </c>
      <c r="C69" s="3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1</v>
      </c>
      <c r="L69" s="1">
        <v>0</v>
      </c>
      <c r="M69" s="1">
        <v>0</v>
      </c>
      <c r="N69" s="83">
        <v>0</v>
      </c>
    </row>
    <row r="70" spans="1:16" x14ac:dyDescent="0.15">
      <c r="A70" s="16"/>
      <c r="B70" s="16">
        <v>4</v>
      </c>
      <c r="C70" s="15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1</v>
      </c>
      <c r="M70" s="16">
        <v>1</v>
      </c>
      <c r="N70" s="17">
        <v>1</v>
      </c>
    </row>
    <row r="71" spans="1:16" x14ac:dyDescent="0.15">
      <c r="A71" s="1" t="s">
        <v>229</v>
      </c>
      <c r="B71" s="8">
        <v>1</v>
      </c>
      <c r="C71" s="13">
        <v>0</v>
      </c>
      <c r="D71" s="8">
        <v>0.67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14">
        <v>0</v>
      </c>
    </row>
    <row r="72" spans="1:16" x14ac:dyDescent="0.15">
      <c r="A72" s="1"/>
      <c r="B72" s="8">
        <v>2</v>
      </c>
      <c r="C72" s="13">
        <v>0</v>
      </c>
      <c r="D72" s="8">
        <v>0</v>
      </c>
      <c r="E72" s="8">
        <v>1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14">
        <v>0</v>
      </c>
      <c r="P72" s="1"/>
    </row>
    <row r="73" spans="1:16" x14ac:dyDescent="0.15">
      <c r="A73" s="1"/>
      <c r="B73" s="8">
        <v>3</v>
      </c>
      <c r="C73" s="13">
        <v>0</v>
      </c>
      <c r="D73" s="8">
        <v>0</v>
      </c>
      <c r="E73" s="8">
        <v>0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14">
        <v>0</v>
      </c>
      <c r="P73" s="1"/>
    </row>
    <row r="74" spans="1:16" x14ac:dyDescent="0.15">
      <c r="A74" s="16"/>
      <c r="B74" s="16">
        <v>4</v>
      </c>
      <c r="C74" s="15">
        <v>0</v>
      </c>
      <c r="D74" s="16">
        <v>0</v>
      </c>
      <c r="E74" s="16">
        <v>0</v>
      </c>
      <c r="F74" s="16">
        <v>0</v>
      </c>
      <c r="G74" s="16">
        <v>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7">
        <v>0</v>
      </c>
      <c r="P74" s="1"/>
    </row>
    <row r="75" spans="1:16" x14ac:dyDescent="0.15">
      <c r="A75" t="s">
        <v>157</v>
      </c>
      <c r="B75" s="8">
        <v>1</v>
      </c>
      <c r="C75" s="67">
        <v>0.67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8">
        <v>0</v>
      </c>
      <c r="P75" s="213"/>
    </row>
    <row r="76" spans="1:16" x14ac:dyDescent="0.15">
      <c r="B76" s="8">
        <v>2</v>
      </c>
      <c r="C76" s="67">
        <v>0.33</v>
      </c>
      <c r="D76" s="8">
        <v>1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8">
        <v>0</v>
      </c>
      <c r="P76" s="213"/>
    </row>
    <row r="77" spans="1:16" x14ac:dyDescent="0.15">
      <c r="B77" s="8">
        <v>3</v>
      </c>
      <c r="C77" s="67">
        <v>0</v>
      </c>
      <c r="D77" s="8">
        <v>0</v>
      </c>
      <c r="E77" s="8">
        <v>1</v>
      </c>
      <c r="F77" s="8">
        <v>1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8">
        <v>0</v>
      </c>
      <c r="P77" s="213"/>
    </row>
    <row r="78" spans="1:16" x14ac:dyDescent="0.15">
      <c r="A78" s="16"/>
      <c r="B78" s="30">
        <v>4</v>
      </c>
      <c r="C78" s="75">
        <v>0</v>
      </c>
      <c r="D78" s="30">
        <v>0</v>
      </c>
      <c r="E78" s="30">
        <v>0</v>
      </c>
      <c r="F78" s="30">
        <v>0</v>
      </c>
      <c r="G78" s="8">
        <v>0</v>
      </c>
      <c r="H78" s="30">
        <v>1</v>
      </c>
      <c r="I78" s="30">
        <v>1</v>
      </c>
      <c r="J78" s="30">
        <v>0</v>
      </c>
      <c r="K78" s="30">
        <v>0</v>
      </c>
      <c r="L78" s="30">
        <v>0</v>
      </c>
      <c r="M78" s="30">
        <v>0</v>
      </c>
      <c r="N78" s="76">
        <v>0</v>
      </c>
      <c r="P78" s="213"/>
    </row>
    <row r="79" spans="1:16" x14ac:dyDescent="0.15">
      <c r="A79" s="10" t="s">
        <v>181</v>
      </c>
      <c r="B79" s="11">
        <v>1</v>
      </c>
      <c r="C79" s="10">
        <v>0</v>
      </c>
      <c r="D79" s="11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1</v>
      </c>
      <c r="K79" s="12">
        <v>0.33</v>
      </c>
      <c r="L79" s="12">
        <v>0</v>
      </c>
      <c r="M79" s="12">
        <v>0</v>
      </c>
      <c r="N79" s="18">
        <v>0</v>
      </c>
      <c r="P79" s="1"/>
    </row>
    <row r="80" spans="1:16" x14ac:dyDescent="0.15">
      <c r="A80" s="13"/>
      <c r="B80" s="1">
        <v>2</v>
      </c>
      <c r="C80" s="13">
        <v>0</v>
      </c>
      <c r="D80" s="1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0.67</v>
      </c>
      <c r="L80" s="8">
        <v>0.33</v>
      </c>
      <c r="M80" s="8">
        <v>0</v>
      </c>
      <c r="N80" s="14">
        <v>0</v>
      </c>
      <c r="P80" s="1"/>
    </row>
    <row r="81" spans="1:16" x14ac:dyDescent="0.15">
      <c r="A81" s="13"/>
      <c r="B81" s="1">
        <v>3</v>
      </c>
      <c r="C81" s="13">
        <v>0</v>
      </c>
      <c r="D81" s="1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0.67</v>
      </c>
      <c r="M81" s="8">
        <v>0.67</v>
      </c>
      <c r="N81" s="14">
        <v>0</v>
      </c>
      <c r="P81" s="1"/>
    </row>
    <row r="82" spans="1:16" x14ac:dyDescent="0.15">
      <c r="A82" s="15"/>
      <c r="B82" s="16">
        <v>4</v>
      </c>
      <c r="C82" s="15">
        <v>0</v>
      </c>
      <c r="D82" s="16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0.33</v>
      </c>
      <c r="N82" s="17">
        <v>1</v>
      </c>
      <c r="P82" s="1"/>
    </row>
    <row r="83" spans="1:16" x14ac:dyDescent="0.15">
      <c r="A83" s="10" t="s">
        <v>182</v>
      </c>
      <c r="B83" s="11">
        <v>1</v>
      </c>
      <c r="C83" s="10">
        <v>0</v>
      </c>
      <c r="D83" s="11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0.67</v>
      </c>
      <c r="K83" s="12">
        <v>0.33</v>
      </c>
      <c r="L83" s="12">
        <v>0</v>
      </c>
      <c r="M83" s="12">
        <v>0</v>
      </c>
      <c r="N83" s="18">
        <v>0</v>
      </c>
      <c r="P83" s="8"/>
    </row>
    <row r="84" spans="1:16" x14ac:dyDescent="0.15">
      <c r="A84" s="13"/>
      <c r="B84" s="1">
        <v>2</v>
      </c>
      <c r="C84" s="13">
        <v>0</v>
      </c>
      <c r="D84" s="1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0.67</v>
      </c>
      <c r="L84" s="8">
        <v>0.33</v>
      </c>
      <c r="M84" s="8">
        <v>0</v>
      </c>
      <c r="N84" s="14">
        <v>0</v>
      </c>
      <c r="P84" s="8"/>
    </row>
    <row r="85" spans="1:16" x14ac:dyDescent="0.15">
      <c r="A85" s="13"/>
      <c r="B85" s="1">
        <v>3</v>
      </c>
      <c r="C85" s="13">
        <v>0</v>
      </c>
      <c r="D85" s="1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0.67</v>
      </c>
      <c r="M85" s="8">
        <v>0.67</v>
      </c>
      <c r="N85" s="14">
        <v>0</v>
      </c>
      <c r="P85" s="8"/>
    </row>
    <row r="86" spans="1:16" x14ac:dyDescent="0.15">
      <c r="A86" s="15"/>
      <c r="B86" s="16">
        <v>4</v>
      </c>
      <c r="C86" s="15">
        <v>0</v>
      </c>
      <c r="D86" s="16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0.33</v>
      </c>
      <c r="N86" s="17">
        <v>0.67</v>
      </c>
      <c r="P86" s="8"/>
    </row>
    <row r="87" spans="1:16" x14ac:dyDescent="0.15">
      <c r="A87" s="10" t="s">
        <v>184</v>
      </c>
      <c r="B87" s="11">
        <v>1</v>
      </c>
      <c r="C87" s="10">
        <v>0</v>
      </c>
      <c r="D87" s="11">
        <v>0.5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8">
        <v>0</v>
      </c>
      <c r="P87" s="8"/>
    </row>
    <row r="88" spans="1:16" x14ac:dyDescent="0.15">
      <c r="A88" s="13"/>
      <c r="B88" s="1">
        <v>2</v>
      </c>
      <c r="C88" s="13">
        <v>0</v>
      </c>
      <c r="D88" s="1">
        <v>0.5</v>
      </c>
      <c r="E88" s="8">
        <v>0.5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14">
        <v>0</v>
      </c>
      <c r="P88" s="8"/>
    </row>
    <row r="89" spans="1:16" x14ac:dyDescent="0.15">
      <c r="A89" s="13"/>
      <c r="B89" s="1">
        <v>3</v>
      </c>
      <c r="C89" s="13">
        <v>0</v>
      </c>
      <c r="D89" s="1">
        <v>0</v>
      </c>
      <c r="E89" s="8">
        <v>0.5</v>
      </c>
      <c r="F89" s="8">
        <v>1</v>
      </c>
      <c r="G89" s="8">
        <v>0.16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14">
        <v>0</v>
      </c>
      <c r="P89" s="8"/>
    </row>
    <row r="90" spans="1:16" x14ac:dyDescent="0.15">
      <c r="A90" s="15"/>
      <c r="B90" s="16">
        <v>4</v>
      </c>
      <c r="C90" s="15">
        <v>0</v>
      </c>
      <c r="D90" s="16">
        <v>0</v>
      </c>
      <c r="E90" s="30">
        <v>0</v>
      </c>
      <c r="F90" s="30">
        <v>0</v>
      </c>
      <c r="G90" s="30">
        <v>0.84</v>
      </c>
      <c r="H90" s="30">
        <v>0.16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17">
        <v>0</v>
      </c>
      <c r="P90" s="8"/>
    </row>
  </sheetData>
  <conditionalFormatting sqref="C23:N43 C45:N46 C44:F44 L44:N44">
    <cfRule type="aboveAverage" dxfId="47" priority="29"/>
    <cfRule type="aboveAverage" dxfId="46" priority="30"/>
  </conditionalFormatting>
  <conditionalFormatting sqref="C75:N78 C47:N62">
    <cfRule type="aboveAverage" dxfId="45" priority="25"/>
    <cfRule type="aboveAverage" dxfId="44" priority="26"/>
  </conditionalFormatting>
  <conditionalFormatting sqref="G44:K44">
    <cfRule type="aboveAverage" dxfId="43" priority="13"/>
    <cfRule type="aboveAverage" dxfId="42" priority="14"/>
  </conditionalFormatting>
  <conditionalFormatting sqref="C79:N82">
    <cfRule type="aboveAverage" dxfId="41" priority="9"/>
    <cfRule type="aboveAverage" dxfId="40" priority="10"/>
  </conditionalFormatting>
  <conditionalFormatting sqref="C83:N86">
    <cfRule type="aboveAverage" dxfId="39" priority="7"/>
    <cfRule type="aboveAverage" dxfId="38" priority="8"/>
  </conditionalFormatting>
  <conditionalFormatting sqref="C87:N90">
    <cfRule type="aboveAverage" dxfId="37" priority="5"/>
    <cfRule type="aboveAverage" dxfId="36" priority="6"/>
  </conditionalFormatting>
  <conditionalFormatting sqref="C63:N66">
    <cfRule type="aboveAverage" dxfId="35" priority="3"/>
    <cfRule type="aboveAverage" dxfId="34" priority="4"/>
  </conditionalFormatting>
  <conditionalFormatting sqref="C67:N74">
    <cfRule type="aboveAverage" dxfId="33" priority="1"/>
    <cfRule type="aboveAverage" dxfId="32" priority="2"/>
  </conditionalFormatting>
  <hyperlinks>
    <hyperlink ref="A7" r:id="rId1"/>
    <hyperlink ref="A8" r:id="rId2"/>
    <hyperlink ref="A10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zoomScale="70" zoomScaleNormal="70" workbookViewId="0"/>
  </sheetViews>
  <sheetFormatPr defaultRowHeight="11.25" x14ac:dyDescent="0.15"/>
  <cols>
    <col min="1" max="1" width="11.375" customWidth="1"/>
    <col min="6" max="6" width="10.375" bestFit="1" customWidth="1"/>
    <col min="7" max="7" width="9.875" customWidth="1"/>
  </cols>
  <sheetData>
    <row r="1" spans="1:10" ht="19.5" x14ac:dyDescent="0.25">
      <c r="A1" s="6" t="s">
        <v>472</v>
      </c>
      <c r="D1" s="2"/>
      <c r="E1" s="2"/>
      <c r="F1" s="2"/>
      <c r="G1" s="2"/>
    </row>
    <row r="2" spans="1:10" x14ac:dyDescent="0.15">
      <c r="A2" s="5" t="s">
        <v>473</v>
      </c>
      <c r="D2" s="19"/>
      <c r="E2" s="19"/>
      <c r="F2" s="19"/>
      <c r="G2" s="19"/>
    </row>
    <row r="3" spans="1:10" x14ac:dyDescent="0.15">
      <c r="A3" s="5"/>
      <c r="D3" s="19"/>
      <c r="E3" s="19"/>
      <c r="F3" s="19"/>
      <c r="G3" s="19"/>
    </row>
    <row r="4" spans="1:10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x14ac:dyDescent="0.15">
      <c r="A5" s="197"/>
      <c r="B5" s="98"/>
      <c r="C5" s="8"/>
      <c r="D5" s="8"/>
      <c r="E5" s="78"/>
      <c r="F5" s="8"/>
      <c r="G5" s="8"/>
      <c r="H5" s="8"/>
      <c r="I5" s="8"/>
      <c r="J5" s="78"/>
    </row>
    <row r="6" spans="1:10" x14ac:dyDescent="0.15">
      <c r="A6" s="197" t="s">
        <v>135</v>
      </c>
      <c r="B6" s="2"/>
      <c r="E6" s="78"/>
      <c r="F6" s="37"/>
      <c r="G6" s="8"/>
      <c r="H6" s="8"/>
      <c r="I6" s="8"/>
      <c r="J6" s="78"/>
    </row>
    <row r="7" spans="1:10" x14ac:dyDescent="0.15">
      <c r="A7" s="38" t="s">
        <v>320</v>
      </c>
      <c r="E7" s="78"/>
      <c r="F7" s="8"/>
      <c r="G7" s="8"/>
      <c r="H7" s="8"/>
      <c r="I7" s="8"/>
      <c r="J7" s="78"/>
    </row>
    <row r="8" spans="1:10" x14ac:dyDescent="0.15">
      <c r="A8" s="38" t="s">
        <v>396</v>
      </c>
      <c r="B8" s="195"/>
      <c r="C8" s="8"/>
      <c r="D8" s="8"/>
      <c r="E8" s="78"/>
      <c r="F8" s="67"/>
      <c r="G8" s="8"/>
      <c r="H8" s="8"/>
      <c r="I8" s="8"/>
      <c r="J8" s="78"/>
    </row>
    <row r="9" spans="1:10" x14ac:dyDescent="0.15">
      <c r="B9" s="8"/>
      <c r="C9" s="8"/>
      <c r="D9" s="8"/>
      <c r="E9" s="78"/>
      <c r="F9" s="67"/>
      <c r="G9" s="8"/>
      <c r="H9" s="79"/>
      <c r="I9" s="79"/>
      <c r="J9" s="193"/>
    </row>
    <row r="10" spans="1:10" x14ac:dyDescent="0.15">
      <c r="B10" s="8"/>
      <c r="C10" s="8"/>
      <c r="D10" s="8"/>
      <c r="E10" s="78"/>
      <c r="F10" s="67"/>
      <c r="G10" s="8"/>
      <c r="H10" s="8"/>
      <c r="I10" s="8"/>
      <c r="J10" s="78"/>
    </row>
    <row r="11" spans="1:10" x14ac:dyDescent="0.15">
      <c r="A11" t="s">
        <v>199</v>
      </c>
      <c r="B11" s="8"/>
      <c r="C11" s="8"/>
      <c r="D11" s="8"/>
      <c r="E11" s="78"/>
      <c r="F11" s="67"/>
      <c r="G11" s="8"/>
      <c r="H11" s="8"/>
      <c r="I11" s="8"/>
      <c r="J11" s="78"/>
    </row>
    <row r="12" spans="1:10" x14ac:dyDescent="0.15">
      <c r="A12" s="198" t="s">
        <v>469</v>
      </c>
      <c r="B12" s="37"/>
      <c r="C12" s="37"/>
      <c r="D12" s="37"/>
      <c r="E12" s="78"/>
      <c r="F12" s="37"/>
      <c r="G12" s="37"/>
      <c r="H12" s="37"/>
      <c r="I12" s="8"/>
      <c r="J12" s="78"/>
    </row>
    <row r="13" spans="1:10" x14ac:dyDescent="0.15">
      <c r="A13" s="98" t="s">
        <v>470</v>
      </c>
      <c r="B13" s="37"/>
      <c r="C13" s="37"/>
      <c r="D13" s="37"/>
      <c r="E13" s="78"/>
      <c r="F13" s="37"/>
      <c r="G13" s="37"/>
      <c r="H13" s="37"/>
      <c r="I13" s="8"/>
      <c r="J13" s="78"/>
    </row>
    <row r="14" spans="1:10" x14ac:dyDescent="0.15">
      <c r="A14" s="137"/>
      <c r="B14" s="37"/>
      <c r="C14" s="37"/>
      <c r="D14" s="95"/>
      <c r="E14" s="78"/>
      <c r="F14" s="37"/>
      <c r="G14" s="37"/>
      <c r="H14" s="37"/>
      <c r="I14" s="8"/>
      <c r="J14" s="78"/>
    </row>
    <row r="15" spans="1:10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3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3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3" x14ac:dyDescent="0.15">
      <c r="A19" s="5"/>
    </row>
    <row r="20" spans="1:13" x14ac:dyDescent="0.15">
      <c r="A20" s="3" t="s">
        <v>1</v>
      </c>
      <c r="D20" s="4"/>
    </row>
    <row r="21" spans="1:13" x14ac:dyDescent="0.15">
      <c r="A21" s="3"/>
      <c r="B21" s="9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 s="7" t="s">
        <v>27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23</v>
      </c>
      <c r="L22" s="2" t="s">
        <v>24</v>
      </c>
      <c r="M22" s="2" t="s">
        <v>25</v>
      </c>
    </row>
    <row r="23" spans="1:13" x14ac:dyDescent="0.15">
      <c r="A23" s="1" t="s">
        <v>100</v>
      </c>
      <c r="B23" s="1">
        <f>PhaseMonth!C23*GrowthPhases!$D23</f>
        <v>0</v>
      </c>
      <c r="C23" s="1">
        <f>PhaseMonth!D23*GrowthPhases!$D23</f>
        <v>0</v>
      </c>
      <c r="D23" s="8">
        <v>0</v>
      </c>
      <c r="E23" s="8">
        <v>0</v>
      </c>
      <c r="F23" s="8">
        <v>0.5</v>
      </c>
      <c r="G23" s="8">
        <v>0.7</v>
      </c>
      <c r="H23" s="8">
        <v>1.2</v>
      </c>
      <c r="I23" s="8">
        <v>1</v>
      </c>
      <c r="J23" s="8">
        <v>0.6</v>
      </c>
      <c r="K23" s="8">
        <v>0</v>
      </c>
      <c r="L23" s="8">
        <v>0</v>
      </c>
      <c r="M23" s="1">
        <v>0</v>
      </c>
    </row>
    <row r="24" spans="1:13" x14ac:dyDescent="0.15">
      <c r="A24" s="1" t="s">
        <v>99</v>
      </c>
      <c r="B24" s="1">
        <v>1.05</v>
      </c>
      <c r="C24" s="1">
        <v>1.1000000000000001</v>
      </c>
      <c r="D24" s="1">
        <v>0.5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0.45</v>
      </c>
      <c r="M24" s="1">
        <v>0.7</v>
      </c>
    </row>
    <row r="25" spans="1:13" x14ac:dyDescent="0.15">
      <c r="A25" s="1" t="s">
        <v>101</v>
      </c>
      <c r="B25" s="1">
        <v>0</v>
      </c>
      <c r="C25" s="1">
        <v>0</v>
      </c>
      <c r="D25" s="1">
        <v>0</v>
      </c>
      <c r="E25" s="1">
        <v>0.7</v>
      </c>
      <c r="F25" s="1">
        <v>0.9</v>
      </c>
      <c r="G25" s="1">
        <v>1.1000000000000001</v>
      </c>
      <c r="H25" s="1">
        <v>1.1000000000000001</v>
      </c>
      <c r="I25" s="1">
        <v>1.1000000000000001</v>
      </c>
      <c r="J25" s="1">
        <v>1.1000000000000001</v>
      </c>
      <c r="K25" s="1">
        <v>0.65</v>
      </c>
      <c r="L25" s="1">
        <v>0.3</v>
      </c>
      <c r="M25" s="1">
        <v>0</v>
      </c>
    </row>
    <row r="26" spans="1:13" x14ac:dyDescent="0.15">
      <c r="A26" s="1" t="s">
        <v>102</v>
      </c>
      <c r="B26" s="1">
        <v>0.95</v>
      </c>
      <c r="C26" s="1">
        <v>0.95</v>
      </c>
      <c r="D26" s="1">
        <v>0.95</v>
      </c>
      <c r="E26" s="1">
        <v>0.95</v>
      </c>
      <c r="F26" s="1">
        <v>0.95</v>
      </c>
      <c r="G26" s="1">
        <v>0.95</v>
      </c>
      <c r="H26" s="1">
        <v>0.95</v>
      </c>
      <c r="I26" s="1">
        <v>0.95</v>
      </c>
      <c r="J26" s="1">
        <v>0.95</v>
      </c>
      <c r="K26" s="1">
        <v>0.95</v>
      </c>
      <c r="L26" s="1">
        <v>0.95</v>
      </c>
      <c r="M26" s="1">
        <v>0.95</v>
      </c>
    </row>
    <row r="27" spans="1:13" x14ac:dyDescent="0.15">
      <c r="A27" s="1" t="s">
        <v>104</v>
      </c>
      <c r="B27" s="1">
        <v>1.1000000000000001</v>
      </c>
      <c r="C27" s="1">
        <v>1.2</v>
      </c>
      <c r="D27" s="1">
        <v>1.2</v>
      </c>
      <c r="E27" s="1">
        <v>0.8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40">
        <v>1.05</v>
      </c>
    </row>
    <row r="28" spans="1:13" x14ac:dyDescent="0.15">
      <c r="A28" s="1" t="s">
        <v>105</v>
      </c>
      <c r="B28" s="1">
        <v>0</v>
      </c>
      <c r="C28" s="1">
        <v>0</v>
      </c>
      <c r="D28" s="1">
        <v>0</v>
      </c>
      <c r="E28" s="1">
        <v>0</v>
      </c>
      <c r="F28" s="1">
        <v>1.05</v>
      </c>
      <c r="G28" s="1">
        <v>1.1000000000000001</v>
      </c>
      <c r="H28" s="1">
        <v>1.2</v>
      </c>
      <c r="I28" s="1">
        <v>1.2</v>
      </c>
      <c r="J28" s="1">
        <v>0.95</v>
      </c>
      <c r="K28" s="1">
        <v>0.8</v>
      </c>
      <c r="L28" s="1">
        <v>0</v>
      </c>
      <c r="M28" s="70">
        <v>0</v>
      </c>
    </row>
    <row r="29" spans="1:13" x14ac:dyDescent="0.15">
      <c r="A29" s="8" t="s">
        <v>153</v>
      </c>
      <c r="B29" s="1">
        <v>0.9</v>
      </c>
      <c r="C29" s="1">
        <v>0.9</v>
      </c>
      <c r="D29" s="1">
        <v>0.9</v>
      </c>
      <c r="E29" s="1">
        <v>0.9</v>
      </c>
      <c r="F29" s="1">
        <v>0.9</v>
      </c>
      <c r="G29" s="1">
        <v>0.9</v>
      </c>
      <c r="H29" s="1">
        <v>0.9</v>
      </c>
      <c r="I29" s="1">
        <v>0.9</v>
      </c>
      <c r="J29" s="1">
        <v>0.9</v>
      </c>
      <c r="K29" s="1">
        <v>0.9</v>
      </c>
      <c r="L29" s="1">
        <v>0.9</v>
      </c>
      <c r="M29" s="1">
        <v>0.9</v>
      </c>
    </row>
    <row r="30" spans="1:13" x14ac:dyDescent="0.15">
      <c r="A30" s="8" t="s">
        <v>154</v>
      </c>
      <c r="B30" s="8">
        <v>0.8</v>
      </c>
      <c r="C30" s="8">
        <v>1.05</v>
      </c>
      <c r="D30" s="8">
        <v>0.5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0.45</v>
      </c>
    </row>
    <row r="31" spans="1:13" x14ac:dyDescent="0.15">
      <c r="A31" s="1" t="s">
        <v>103</v>
      </c>
      <c r="B31" s="8">
        <v>1</v>
      </c>
      <c r="C31" s="8">
        <v>1.1499999999999999</v>
      </c>
      <c r="D31" s="8">
        <v>1</v>
      </c>
      <c r="E31" s="8">
        <v>0.4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0.45</v>
      </c>
    </row>
    <row r="32" spans="1:13" x14ac:dyDescent="0.15">
      <c r="A32" s="1" t="s">
        <v>359</v>
      </c>
      <c r="B32" s="8">
        <v>1.1000000000000001</v>
      </c>
      <c r="C32" s="8">
        <v>0.9</v>
      </c>
      <c r="D32" s="8">
        <v>0.35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0.4</v>
      </c>
      <c r="M32" s="8">
        <v>0.6</v>
      </c>
    </row>
    <row r="33" spans="1:13" x14ac:dyDescent="0.15">
      <c r="A33" s="1" t="s">
        <v>360</v>
      </c>
      <c r="B33" s="8">
        <v>0</v>
      </c>
      <c r="C33" s="8">
        <v>0</v>
      </c>
      <c r="D33" s="8">
        <v>0</v>
      </c>
      <c r="E33" s="8">
        <v>0</v>
      </c>
      <c r="F33" s="8">
        <v>0.4</v>
      </c>
      <c r="G33" s="8">
        <v>0.6</v>
      </c>
      <c r="H33" s="8">
        <v>1.1000000000000001</v>
      </c>
      <c r="I33" s="8">
        <v>0.9</v>
      </c>
      <c r="J33" s="8">
        <v>0.35</v>
      </c>
      <c r="K33" s="8">
        <v>0</v>
      </c>
      <c r="L33" s="8">
        <v>0</v>
      </c>
      <c r="M33" s="8">
        <v>0</v>
      </c>
    </row>
    <row r="34" spans="1:13" x14ac:dyDescent="0.15">
      <c r="A34" s="1" t="s">
        <v>156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15">
      <c r="A35" s="1" t="s">
        <v>229</v>
      </c>
      <c r="B35" s="1">
        <v>1.2</v>
      </c>
      <c r="C35" s="8">
        <v>0.8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0.5</v>
      </c>
      <c r="M35" s="1">
        <v>0.85</v>
      </c>
    </row>
    <row r="36" spans="1:13" x14ac:dyDescent="0.15">
      <c r="A36" s="1" t="s">
        <v>157</v>
      </c>
      <c r="B36" s="8">
        <v>0.8</v>
      </c>
      <c r="C36" s="8">
        <v>0.8</v>
      </c>
      <c r="D36" s="8">
        <v>0.3</v>
      </c>
      <c r="E36" s="8">
        <v>0.3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0.35</v>
      </c>
      <c r="L36" s="8">
        <v>0.5</v>
      </c>
      <c r="M36" s="8">
        <v>0.8</v>
      </c>
    </row>
    <row r="37" spans="1:13" x14ac:dyDescent="0.15">
      <c r="A37" s="1" t="s">
        <v>181</v>
      </c>
      <c r="B37" s="1">
        <v>0</v>
      </c>
      <c r="C37" s="1">
        <v>0</v>
      </c>
      <c r="D37" s="8">
        <v>0</v>
      </c>
      <c r="E37" s="8">
        <v>0</v>
      </c>
      <c r="F37" s="8">
        <v>0.45</v>
      </c>
      <c r="G37" s="8">
        <v>0.7</v>
      </c>
      <c r="H37" s="8">
        <v>1.05</v>
      </c>
      <c r="I37" s="8">
        <v>1.1000000000000001</v>
      </c>
      <c r="J37" s="8">
        <v>0.5</v>
      </c>
      <c r="K37" s="8">
        <v>0</v>
      </c>
      <c r="L37" s="8">
        <v>0</v>
      </c>
      <c r="M37" s="1">
        <v>0</v>
      </c>
    </row>
    <row r="38" spans="1:13" x14ac:dyDescent="0.15">
      <c r="A38" s="1" t="s">
        <v>182</v>
      </c>
      <c r="B38" s="1">
        <v>0</v>
      </c>
      <c r="C38" s="1">
        <v>0</v>
      </c>
      <c r="D38" s="8">
        <v>0</v>
      </c>
      <c r="E38" s="8">
        <v>0</v>
      </c>
      <c r="F38" s="8">
        <v>0.05</v>
      </c>
      <c r="G38" s="8">
        <v>0.45</v>
      </c>
      <c r="H38" s="8">
        <v>0.95</v>
      </c>
      <c r="I38" s="8">
        <v>0.95</v>
      </c>
      <c r="J38" s="8">
        <v>0.6</v>
      </c>
      <c r="K38" s="8">
        <v>0</v>
      </c>
      <c r="L38" s="8">
        <v>0</v>
      </c>
      <c r="M38" s="1">
        <v>0</v>
      </c>
    </row>
    <row r="39" spans="1:13" x14ac:dyDescent="0.15">
      <c r="A39" s="1" t="s">
        <v>184</v>
      </c>
      <c r="B39" s="1">
        <v>1.1499999999999999</v>
      </c>
      <c r="C39" s="1">
        <v>0.75</v>
      </c>
      <c r="D39" s="8">
        <v>0.7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0.3</v>
      </c>
      <c r="M39" s="1">
        <v>0.85</v>
      </c>
    </row>
  </sheetData>
  <conditionalFormatting sqref="B33:M33">
    <cfRule type="aboveAverage" dxfId="31" priority="37"/>
    <cfRule type="aboveAverage" dxfId="30" priority="38"/>
  </conditionalFormatting>
  <conditionalFormatting sqref="B23:M28">
    <cfRule type="aboveAverage" dxfId="29" priority="55"/>
    <cfRule type="aboveAverage" dxfId="28" priority="56"/>
  </conditionalFormatting>
  <conditionalFormatting sqref="B39:M39">
    <cfRule type="aboveAverage" dxfId="27" priority="57"/>
    <cfRule type="aboveAverage" dxfId="26" priority="58"/>
  </conditionalFormatting>
  <conditionalFormatting sqref="B38:M38">
    <cfRule type="aboveAverage" dxfId="25" priority="59"/>
    <cfRule type="aboveAverage" dxfId="24" priority="60"/>
  </conditionalFormatting>
  <conditionalFormatting sqref="B37:M37">
    <cfRule type="aboveAverage" dxfId="23" priority="61"/>
    <cfRule type="aboveAverage" dxfId="22" priority="62"/>
  </conditionalFormatting>
  <conditionalFormatting sqref="B36:M36 B29:M31 E32:K32">
    <cfRule type="aboveAverage" dxfId="21" priority="63"/>
    <cfRule type="aboveAverage" dxfId="20" priority="64"/>
  </conditionalFormatting>
  <conditionalFormatting sqref="B34:M35">
    <cfRule type="aboveAverage" dxfId="19" priority="69"/>
    <cfRule type="aboveAverage" dxfId="18" priority="70"/>
  </conditionalFormatting>
  <conditionalFormatting sqref="L32:M32">
    <cfRule type="aboveAverage" dxfId="17" priority="3"/>
    <cfRule type="aboveAverage" dxfId="16" priority="4"/>
  </conditionalFormatting>
  <conditionalFormatting sqref="B32:D32">
    <cfRule type="aboveAverage" dxfId="15" priority="1"/>
    <cfRule type="aboveAverage" dxfId="14" priority="2"/>
  </conditionalFormatting>
  <hyperlinks>
    <hyperlink ref="A7" r:id="rId1"/>
    <hyperlink ref="A8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zoomScaleNormal="100" workbookViewId="0">
      <selection activeCell="E28" sqref="E28:F28"/>
    </sheetView>
  </sheetViews>
  <sheetFormatPr defaultRowHeight="11.25" x14ac:dyDescent="0.15"/>
  <cols>
    <col min="1" max="1" width="10.5" customWidth="1"/>
    <col min="3" max="3" width="9.25" customWidth="1"/>
    <col min="4" max="4" width="11.5" customWidth="1"/>
  </cols>
  <sheetData>
    <row r="1" spans="1:12" ht="19.5" x14ac:dyDescent="0.25">
      <c r="A1" s="6" t="s">
        <v>466</v>
      </c>
      <c r="I1" s="1"/>
      <c r="K1" s="1"/>
      <c r="L1" s="1"/>
    </row>
    <row r="2" spans="1:12" x14ac:dyDescent="0.15">
      <c r="A2" s="5" t="s">
        <v>420</v>
      </c>
      <c r="I2" s="1"/>
      <c r="K2" s="1"/>
      <c r="L2" s="1"/>
    </row>
    <row r="3" spans="1:12" x14ac:dyDescent="0.15">
      <c r="A3" s="5"/>
      <c r="I3" s="1"/>
      <c r="J3" s="1"/>
      <c r="K3" s="167"/>
      <c r="L3" s="185"/>
    </row>
    <row r="4" spans="1:12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  <c r="K4" s="167"/>
      <c r="L4" s="185"/>
    </row>
    <row r="5" spans="1:12" x14ac:dyDescent="0.15">
      <c r="A5" s="197"/>
      <c r="B5" s="98"/>
      <c r="C5" s="8"/>
      <c r="D5" s="8"/>
      <c r="E5" s="78"/>
      <c r="F5" s="8"/>
      <c r="G5" s="8"/>
      <c r="H5" s="8"/>
      <c r="I5" s="8"/>
      <c r="J5" s="78"/>
      <c r="K5" s="167"/>
      <c r="L5" s="185"/>
    </row>
    <row r="6" spans="1:12" x14ac:dyDescent="0.15">
      <c r="A6" s="197" t="s">
        <v>398</v>
      </c>
      <c r="B6" s="2"/>
      <c r="E6" s="78"/>
      <c r="F6" s="37"/>
      <c r="G6" s="8"/>
      <c r="H6" s="8"/>
      <c r="I6" s="8"/>
      <c r="J6" s="78"/>
      <c r="K6" s="167"/>
      <c r="L6" s="185"/>
    </row>
    <row r="7" spans="1:12" x14ac:dyDescent="0.15">
      <c r="A7" t="s">
        <v>422</v>
      </c>
      <c r="E7" s="78"/>
      <c r="F7" s="8"/>
      <c r="G7" s="8"/>
      <c r="H7" s="8"/>
      <c r="I7" s="8"/>
      <c r="J7" s="78"/>
      <c r="K7" s="167"/>
      <c r="L7" s="185"/>
    </row>
    <row r="8" spans="1:12" x14ac:dyDescent="0.15">
      <c r="B8" s="195"/>
      <c r="C8" s="8"/>
      <c r="D8" s="8"/>
      <c r="E8" s="78"/>
      <c r="F8" s="67"/>
      <c r="G8" s="8"/>
      <c r="H8" s="8"/>
      <c r="I8" s="8"/>
      <c r="J8" s="78"/>
      <c r="K8" s="167"/>
      <c r="L8" s="185"/>
    </row>
    <row r="9" spans="1:12" x14ac:dyDescent="0.15">
      <c r="A9" s="38" t="s">
        <v>162</v>
      </c>
      <c r="B9" s="8"/>
      <c r="C9" s="8"/>
      <c r="D9" s="8"/>
      <c r="E9" s="78"/>
      <c r="F9" s="67"/>
      <c r="G9" s="8"/>
      <c r="H9" s="79"/>
      <c r="I9" s="79"/>
      <c r="J9" s="193"/>
      <c r="K9" s="167"/>
      <c r="L9" s="185"/>
    </row>
    <row r="10" spans="1:12" x14ac:dyDescent="0.15">
      <c r="A10" s="38" t="s">
        <v>399</v>
      </c>
      <c r="B10" s="8"/>
      <c r="C10" s="8"/>
      <c r="D10" s="8"/>
      <c r="E10" s="78"/>
      <c r="F10" s="67"/>
      <c r="G10" s="8"/>
      <c r="H10" s="8"/>
      <c r="I10" s="8"/>
      <c r="J10" s="78"/>
      <c r="K10" s="167"/>
      <c r="L10" s="185"/>
    </row>
    <row r="11" spans="1:12" x14ac:dyDescent="0.15">
      <c r="B11" s="8"/>
      <c r="C11" s="8"/>
      <c r="D11" s="8"/>
      <c r="E11" s="78"/>
      <c r="F11" s="67"/>
      <c r="G11" s="8"/>
      <c r="H11" s="8"/>
      <c r="I11" s="8"/>
      <c r="J11" s="78"/>
      <c r="K11" s="167"/>
      <c r="L11" s="185"/>
    </row>
    <row r="12" spans="1:12" x14ac:dyDescent="0.15">
      <c r="A12" t="s">
        <v>397</v>
      </c>
      <c r="B12" s="37"/>
      <c r="C12" s="37"/>
      <c r="D12" s="37"/>
      <c r="E12" s="78"/>
      <c r="F12" s="37"/>
      <c r="G12" s="37"/>
      <c r="H12" s="37"/>
      <c r="I12" s="8"/>
      <c r="J12" s="78"/>
      <c r="K12" s="167"/>
      <c r="L12" s="185"/>
    </row>
    <row r="13" spans="1:12" x14ac:dyDescent="0.15">
      <c r="A13" s="1" t="s">
        <v>421</v>
      </c>
      <c r="B13" s="37"/>
      <c r="C13" s="37"/>
      <c r="D13" s="37"/>
      <c r="E13" s="78"/>
      <c r="F13" s="37"/>
      <c r="G13" s="37"/>
      <c r="H13" s="37"/>
      <c r="I13" s="8"/>
      <c r="J13" s="78"/>
      <c r="K13" s="167"/>
      <c r="L13" s="185"/>
    </row>
    <row r="14" spans="1:12" x14ac:dyDescent="0.15">
      <c r="A14" s="137"/>
      <c r="B14" s="37"/>
      <c r="C14" s="37"/>
      <c r="D14" s="95"/>
      <c r="E14" s="78"/>
      <c r="F14" s="37"/>
      <c r="G14" s="37"/>
      <c r="H14" s="37"/>
      <c r="I14" s="8"/>
      <c r="J14" s="78"/>
      <c r="K14" s="167"/>
      <c r="L14" s="185"/>
    </row>
    <row r="15" spans="1:12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  <c r="K15" s="167"/>
      <c r="L15" s="185"/>
    </row>
    <row r="16" spans="1:12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  <c r="K16" s="167"/>
      <c r="L16" s="185"/>
    </row>
    <row r="17" spans="1:12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  <c r="K17" s="167"/>
      <c r="L17" s="185"/>
    </row>
    <row r="18" spans="1:12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  <c r="K18" s="167"/>
      <c r="L18" s="185"/>
    </row>
    <row r="19" spans="1:12" x14ac:dyDescent="0.15">
      <c r="A19" s="5"/>
      <c r="E19" s="38"/>
      <c r="I19" s="1"/>
      <c r="J19" s="1"/>
      <c r="K19" s="167"/>
      <c r="L19" s="185"/>
    </row>
    <row r="20" spans="1:12" ht="43.5" customHeight="1" x14ac:dyDescent="0.15">
      <c r="A20" s="3" t="s">
        <v>1</v>
      </c>
      <c r="B20" s="23"/>
      <c r="C20" s="22" t="s">
        <v>48</v>
      </c>
      <c r="D20" s="109"/>
      <c r="E20" s="84"/>
      <c r="I20" s="1"/>
      <c r="J20" s="1"/>
      <c r="K20" s="1"/>
      <c r="L20" s="1"/>
    </row>
    <row r="21" spans="1:12" x14ac:dyDescent="0.15">
      <c r="A21" s="3" t="s">
        <v>0</v>
      </c>
      <c r="C21" s="2" t="s">
        <v>8</v>
      </c>
      <c r="D21" s="230"/>
      <c r="E21" s="37"/>
      <c r="I21" s="1"/>
      <c r="J21" s="1"/>
      <c r="K21" s="1"/>
      <c r="L21" s="1"/>
    </row>
    <row r="22" spans="1:12" x14ac:dyDescent="0.15">
      <c r="A22" s="7" t="s">
        <v>27</v>
      </c>
      <c r="B22" s="7" t="s">
        <v>26</v>
      </c>
      <c r="C22" s="165" t="s">
        <v>462</v>
      </c>
      <c r="D22" s="1"/>
      <c r="E22" s="8"/>
    </row>
    <row r="23" spans="1:12" x14ac:dyDescent="0.15">
      <c r="A23" s="8" t="s">
        <v>100</v>
      </c>
      <c r="B23" s="8">
        <v>1</v>
      </c>
      <c r="C23" s="79">
        <v>1.1499999999999999</v>
      </c>
      <c r="D23" s="1"/>
      <c r="E23" s="79"/>
    </row>
    <row r="24" spans="1:12" x14ac:dyDescent="0.15">
      <c r="A24" s="8" t="s">
        <v>99</v>
      </c>
      <c r="B24" s="8">
        <v>1</v>
      </c>
      <c r="C24" s="79">
        <v>1.25</v>
      </c>
      <c r="D24" s="1"/>
      <c r="E24" s="79"/>
    </row>
    <row r="25" spans="1:12" x14ac:dyDescent="0.15">
      <c r="A25" s="8" t="s">
        <v>101</v>
      </c>
      <c r="B25" s="8">
        <v>1</v>
      </c>
      <c r="C25" s="79">
        <v>1.05</v>
      </c>
      <c r="D25" s="1"/>
      <c r="E25" s="79"/>
    </row>
    <row r="26" spans="1:12" x14ac:dyDescent="0.15">
      <c r="A26" s="8" t="s">
        <v>102</v>
      </c>
      <c r="B26" s="8">
        <v>1</v>
      </c>
      <c r="C26" s="79">
        <v>1.2</v>
      </c>
      <c r="D26" s="1"/>
      <c r="E26" s="79"/>
    </row>
    <row r="27" spans="1:12" x14ac:dyDescent="0.15">
      <c r="A27" s="8" t="s">
        <v>104</v>
      </c>
      <c r="B27" s="8">
        <v>1</v>
      </c>
      <c r="C27" s="234">
        <v>1.2</v>
      </c>
      <c r="D27" s="1"/>
      <c r="E27" s="199"/>
    </row>
    <row r="28" spans="1:12" x14ac:dyDescent="0.15">
      <c r="A28" s="8" t="s">
        <v>105</v>
      </c>
      <c r="B28" s="8">
        <v>1</v>
      </c>
      <c r="C28" s="234">
        <v>1.2</v>
      </c>
      <c r="D28" s="1"/>
      <c r="E28" s="199"/>
    </row>
    <row r="29" spans="1:12" x14ac:dyDescent="0.15">
      <c r="A29" s="8" t="s">
        <v>153</v>
      </c>
      <c r="B29" s="8">
        <v>1</v>
      </c>
      <c r="C29" s="79">
        <v>1.27</v>
      </c>
      <c r="D29" s="8"/>
      <c r="E29" s="79"/>
    </row>
    <row r="30" spans="1:12" x14ac:dyDescent="0.15">
      <c r="A30" s="8" t="s">
        <v>154</v>
      </c>
      <c r="B30" s="8">
        <v>1</v>
      </c>
      <c r="C30" s="79">
        <v>0.9</v>
      </c>
      <c r="D30" s="8"/>
      <c r="E30" s="199"/>
    </row>
    <row r="31" spans="1:12" x14ac:dyDescent="0.15">
      <c r="A31" s="8" t="s">
        <v>103</v>
      </c>
      <c r="B31" s="8">
        <v>1</v>
      </c>
      <c r="C31" s="79">
        <v>0.85</v>
      </c>
      <c r="D31" s="1"/>
      <c r="E31" s="79"/>
    </row>
    <row r="32" spans="1:12" x14ac:dyDescent="0.15">
      <c r="A32" s="8" t="s">
        <v>360</v>
      </c>
      <c r="B32" s="8">
        <v>1</v>
      </c>
      <c r="C32" s="79">
        <v>1.1499999999999999</v>
      </c>
      <c r="D32" s="8"/>
      <c r="E32" s="79"/>
    </row>
    <row r="33" spans="1:6" x14ac:dyDescent="0.15">
      <c r="A33" s="8" t="s">
        <v>359</v>
      </c>
      <c r="B33" s="8">
        <v>1</v>
      </c>
      <c r="C33" s="79">
        <v>1.1499999999999999</v>
      </c>
      <c r="D33" s="8"/>
      <c r="E33" s="79"/>
    </row>
    <row r="34" spans="1:6" x14ac:dyDescent="0.15">
      <c r="A34" s="8" t="s">
        <v>156</v>
      </c>
      <c r="B34" s="8">
        <v>1</v>
      </c>
      <c r="C34" s="79">
        <v>0.9</v>
      </c>
      <c r="D34" s="8"/>
      <c r="E34" s="79"/>
    </row>
    <row r="35" spans="1:6" x14ac:dyDescent="0.15">
      <c r="A35" s="8" t="s">
        <v>229</v>
      </c>
      <c r="B35" s="8">
        <v>1</v>
      </c>
      <c r="C35" s="79">
        <v>0.9</v>
      </c>
      <c r="D35" s="8"/>
      <c r="E35" s="79"/>
    </row>
    <row r="36" spans="1:6" x14ac:dyDescent="0.15">
      <c r="A36" s="8" t="s">
        <v>157</v>
      </c>
      <c r="B36" s="8">
        <v>1</v>
      </c>
      <c r="C36" s="79">
        <v>1.1000000000000001</v>
      </c>
      <c r="D36" s="213"/>
      <c r="E36" s="219"/>
      <c r="F36" s="213"/>
    </row>
    <row r="37" spans="1:6" x14ac:dyDescent="0.15">
      <c r="A37" s="8" t="s">
        <v>181</v>
      </c>
      <c r="B37" s="8">
        <v>1</v>
      </c>
      <c r="C37" s="79">
        <v>1.25</v>
      </c>
      <c r="D37" s="8"/>
      <c r="E37" s="79"/>
    </row>
    <row r="38" spans="1:6" x14ac:dyDescent="0.15">
      <c r="A38" s="8" t="s">
        <v>182</v>
      </c>
      <c r="B38" s="8">
        <v>1</v>
      </c>
      <c r="C38" s="79">
        <v>0.7</v>
      </c>
      <c r="D38" s="8"/>
      <c r="E38" s="79"/>
    </row>
    <row r="39" spans="1:6" x14ac:dyDescent="0.15">
      <c r="A39" s="8" t="s">
        <v>184</v>
      </c>
      <c r="B39" s="8">
        <v>1</v>
      </c>
      <c r="C39" s="79">
        <v>1.1000000000000001</v>
      </c>
      <c r="D39" s="8"/>
      <c r="E39" s="79"/>
    </row>
    <row r="40" spans="1:6" x14ac:dyDescent="0.15">
      <c r="A40" s="1"/>
      <c r="B40" s="1"/>
      <c r="C40" s="79"/>
      <c r="D40" s="1"/>
      <c r="E40" s="8"/>
    </row>
    <row r="41" spans="1:6" x14ac:dyDescent="0.15">
      <c r="A41" s="1"/>
      <c r="B41" s="1"/>
      <c r="C41" s="79"/>
      <c r="D41" s="1"/>
      <c r="E41" s="8"/>
    </row>
    <row r="42" spans="1:6" x14ac:dyDescent="0.15">
      <c r="A42" s="1"/>
      <c r="B42" s="1"/>
      <c r="C42" s="79"/>
      <c r="D42" s="1"/>
      <c r="E42" s="8"/>
    </row>
    <row r="43" spans="1:6" x14ac:dyDescent="0.15">
      <c r="A43" s="1"/>
      <c r="B43" s="1"/>
      <c r="C43" s="79"/>
      <c r="D43" s="1"/>
      <c r="E43" s="8"/>
    </row>
    <row r="44" spans="1:6" x14ac:dyDescent="0.15">
      <c r="A44" s="1"/>
      <c r="B44" s="1"/>
      <c r="C44" s="166"/>
      <c r="D44" s="1"/>
      <c r="E44" s="8"/>
    </row>
    <row r="45" spans="1:6" x14ac:dyDescent="0.15">
      <c r="A45" s="1"/>
      <c r="B45" s="1"/>
      <c r="C45" s="166"/>
      <c r="D45" s="1"/>
      <c r="E45" s="8"/>
    </row>
    <row r="46" spans="1:6" x14ac:dyDescent="0.15">
      <c r="A46" s="1"/>
      <c r="B46" s="8"/>
      <c r="C46" s="79"/>
      <c r="D46" s="8"/>
      <c r="E46" s="8"/>
    </row>
    <row r="47" spans="1:6" x14ac:dyDescent="0.15">
      <c r="A47" s="1"/>
      <c r="B47" s="8"/>
      <c r="C47" s="166"/>
      <c r="D47" s="8"/>
      <c r="E47" s="8"/>
    </row>
    <row r="48" spans="1:6" x14ac:dyDescent="0.15">
      <c r="A48" s="1"/>
      <c r="B48" s="1"/>
      <c r="C48" s="79"/>
      <c r="D48" s="1"/>
      <c r="E48" s="8"/>
    </row>
    <row r="49" spans="1:5" x14ac:dyDescent="0.15">
      <c r="A49" s="1"/>
      <c r="B49" s="8"/>
      <c r="C49" s="79"/>
      <c r="D49" s="8"/>
      <c r="E49" s="1"/>
    </row>
    <row r="50" spans="1:5" x14ac:dyDescent="0.15">
      <c r="A50" s="1"/>
      <c r="B50" s="8"/>
      <c r="C50" s="79"/>
      <c r="D50" s="8"/>
      <c r="E50" s="8"/>
    </row>
    <row r="51" spans="1:5" x14ac:dyDescent="0.15">
      <c r="A51" s="1"/>
      <c r="B51" s="8"/>
      <c r="C51" s="79"/>
      <c r="D51" s="8"/>
      <c r="E51" s="8"/>
    </row>
    <row r="52" spans="1:5" x14ac:dyDescent="0.15">
      <c r="A52" s="8"/>
      <c r="B52" s="8"/>
      <c r="C52" s="79"/>
      <c r="D52" s="8"/>
      <c r="E52" s="8"/>
    </row>
    <row r="53" spans="1:5" x14ac:dyDescent="0.15">
      <c r="A53" s="8"/>
      <c r="B53" s="8"/>
      <c r="C53" s="79"/>
      <c r="D53" s="8"/>
      <c r="E53" s="8"/>
    </row>
    <row r="54" spans="1:5" x14ac:dyDescent="0.15">
      <c r="A54" s="8"/>
      <c r="B54" s="8"/>
      <c r="C54" s="79"/>
      <c r="D54" s="8"/>
      <c r="E54" s="8"/>
    </row>
  </sheetData>
  <hyperlinks>
    <hyperlink ref="A9" r:id="rId1"/>
    <hyperlink ref="A10" r:id="rId2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zoomScale="55" zoomScaleNormal="55" workbookViewId="0">
      <selection activeCell="I46" sqref="I46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11</v>
      </c>
      <c r="D1" s="2"/>
      <c r="E1" s="2"/>
      <c r="F1" s="2"/>
      <c r="G1" s="2"/>
    </row>
    <row r="2" spans="1:10" ht="13.9" customHeight="1" x14ac:dyDescent="0.15">
      <c r="A2" s="5" t="s">
        <v>30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ht="13.9" customHeight="1" x14ac:dyDescent="0.15">
      <c r="A5" s="197"/>
      <c r="B5" s="98"/>
      <c r="C5" s="8"/>
      <c r="D5" s="8"/>
      <c r="E5" s="78"/>
      <c r="F5" s="8"/>
      <c r="G5" s="8"/>
      <c r="H5" s="8"/>
      <c r="I5" s="8"/>
      <c r="J5" s="78"/>
    </row>
    <row r="6" spans="1:10" ht="13.9" customHeight="1" x14ac:dyDescent="0.15">
      <c r="A6" s="197" t="s">
        <v>135</v>
      </c>
      <c r="B6" s="2"/>
      <c r="E6" s="78"/>
      <c r="F6" s="37"/>
      <c r="G6" s="8"/>
      <c r="H6" s="8"/>
      <c r="I6" s="8"/>
      <c r="J6" s="78"/>
    </row>
    <row r="7" spans="1:10" ht="13.9" customHeight="1" x14ac:dyDescent="0.15">
      <c r="A7" s="38" t="s">
        <v>320</v>
      </c>
      <c r="E7" s="78"/>
      <c r="F7" s="8"/>
      <c r="G7" s="8"/>
      <c r="H7" s="8"/>
      <c r="I7" s="8"/>
      <c r="J7" s="78"/>
    </row>
    <row r="8" spans="1:10" ht="13.9" customHeight="1" x14ac:dyDescent="0.15">
      <c r="A8" s="38" t="s">
        <v>396</v>
      </c>
      <c r="B8" s="195"/>
      <c r="C8" s="8"/>
      <c r="D8" s="8"/>
      <c r="E8" s="78"/>
      <c r="F8" s="67"/>
      <c r="G8" s="8"/>
      <c r="H8" s="8"/>
      <c r="I8" s="8"/>
      <c r="J8" s="78"/>
    </row>
    <row r="9" spans="1:10" ht="13.9" customHeight="1" x14ac:dyDescent="0.15">
      <c r="B9" s="8"/>
      <c r="C9" s="8"/>
      <c r="D9" s="8"/>
      <c r="E9" s="78"/>
      <c r="F9" s="67"/>
      <c r="G9" s="8"/>
      <c r="H9" s="79"/>
      <c r="I9" s="79"/>
      <c r="J9" s="193"/>
    </row>
    <row r="10" spans="1:10" ht="13.9" customHeight="1" x14ac:dyDescent="0.15">
      <c r="B10" s="8"/>
      <c r="C10" s="8"/>
      <c r="D10" s="8"/>
      <c r="E10" s="78"/>
      <c r="F10" s="67"/>
      <c r="G10" s="8"/>
      <c r="H10" s="8"/>
      <c r="I10" s="8"/>
      <c r="J10" s="78"/>
    </row>
    <row r="11" spans="1:10" ht="13.9" customHeight="1" x14ac:dyDescent="0.15">
      <c r="A11" t="s">
        <v>199</v>
      </c>
      <c r="B11" s="8"/>
      <c r="C11" s="8"/>
      <c r="D11" s="8"/>
      <c r="E11" s="78"/>
      <c r="F11" s="67"/>
      <c r="G11" s="8"/>
      <c r="H11" s="8"/>
      <c r="I11" s="8"/>
      <c r="J11" s="78"/>
    </row>
    <row r="12" spans="1:10" ht="13.9" customHeight="1" x14ac:dyDescent="0.15">
      <c r="A12" s="198" t="s">
        <v>393</v>
      </c>
      <c r="B12" s="37"/>
      <c r="C12" s="37"/>
      <c r="D12" s="37"/>
      <c r="E12" s="78"/>
      <c r="F12" s="37"/>
      <c r="G12" s="37"/>
      <c r="H12" s="37"/>
      <c r="I12" s="8"/>
      <c r="J12" s="78"/>
    </row>
    <row r="13" spans="1:10" ht="13.9" customHeight="1" x14ac:dyDescent="0.15">
      <c r="A13" s="98" t="s">
        <v>394</v>
      </c>
      <c r="B13" s="37"/>
      <c r="C13" s="37"/>
      <c r="D13" s="37"/>
      <c r="E13" s="78"/>
      <c r="F13" s="37"/>
      <c r="G13" s="37"/>
      <c r="H13" s="37"/>
      <c r="I13" s="8"/>
      <c r="J13" s="78"/>
    </row>
    <row r="14" spans="1:10" ht="13.9" customHeight="1" x14ac:dyDescent="0.15">
      <c r="A14" s="137" t="s">
        <v>395</v>
      </c>
      <c r="B14" s="37"/>
      <c r="C14" s="37"/>
      <c r="D14" s="95"/>
      <c r="E14" s="78"/>
      <c r="F14" s="37"/>
      <c r="G14" s="37"/>
      <c r="H14" s="37"/>
      <c r="I14" s="8"/>
      <c r="J14" s="78"/>
    </row>
    <row r="15" spans="1:10" ht="13.9" customHeight="1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ht="13.9" customHeight="1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5" ht="13.9" customHeight="1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5" ht="13.9" customHeight="1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5" x14ac:dyDescent="0.15">
      <c r="A19" s="5"/>
    </row>
    <row r="20" spans="1:15" x14ac:dyDescent="0.15">
      <c r="A20" s="3" t="s">
        <v>1</v>
      </c>
      <c r="D20" s="4"/>
    </row>
    <row r="21" spans="1:15" x14ac:dyDescent="0.15">
      <c r="A21" s="3"/>
      <c r="C21" s="9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15">
      <c r="A22" s="7" t="s">
        <v>27</v>
      </c>
      <c r="B22" s="9" t="s">
        <v>26</v>
      </c>
      <c r="C22" s="2" t="s">
        <v>14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24</v>
      </c>
      <c r="N22" s="2" t="s">
        <v>25</v>
      </c>
      <c r="O22" s="1"/>
    </row>
    <row r="23" spans="1:15" x14ac:dyDescent="0.15">
      <c r="A23" s="1" t="s">
        <v>100</v>
      </c>
      <c r="B23" s="1">
        <v>1</v>
      </c>
      <c r="C23" s="1">
        <v>0</v>
      </c>
      <c r="D23" s="1">
        <v>0</v>
      </c>
      <c r="E23" s="8">
        <v>0</v>
      </c>
      <c r="F23" s="8">
        <v>0</v>
      </c>
      <c r="G23" s="8">
        <v>0.67</v>
      </c>
      <c r="H23" s="8">
        <v>1</v>
      </c>
      <c r="I23" s="8">
        <v>1</v>
      </c>
      <c r="J23" s="8">
        <v>1</v>
      </c>
      <c r="K23" s="8">
        <v>0.67</v>
      </c>
      <c r="L23" s="8">
        <v>0</v>
      </c>
      <c r="M23" s="8">
        <v>0</v>
      </c>
      <c r="N23" s="1">
        <v>0</v>
      </c>
      <c r="O23" s="1"/>
    </row>
    <row r="24" spans="1:15" x14ac:dyDescent="0.15">
      <c r="A24" s="1" t="s">
        <v>99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/>
    </row>
    <row r="25" spans="1:15" x14ac:dyDescent="0.15">
      <c r="A25" s="1" t="s">
        <v>101</v>
      </c>
      <c r="B25" s="1">
        <v>1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0.33</v>
      </c>
      <c r="N25" s="1">
        <v>0</v>
      </c>
      <c r="O25" s="1"/>
    </row>
    <row r="26" spans="1:15" x14ac:dyDescent="0.15">
      <c r="A26" s="1" t="s">
        <v>102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/>
    </row>
    <row r="27" spans="1:15" x14ac:dyDescent="0.15">
      <c r="A27" s="1" t="s">
        <v>104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70">
        <v>1</v>
      </c>
      <c r="O27" s="1"/>
    </row>
    <row r="28" spans="1:15" x14ac:dyDescent="0.15">
      <c r="A28" s="1" t="s">
        <v>105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0.67</v>
      </c>
      <c r="H28" s="1">
        <v>1</v>
      </c>
      <c r="I28" s="1">
        <v>1</v>
      </c>
      <c r="J28" s="1">
        <v>1</v>
      </c>
      <c r="K28" s="1">
        <v>1</v>
      </c>
      <c r="L28" s="1">
        <v>0.33</v>
      </c>
      <c r="M28" s="1">
        <v>0</v>
      </c>
      <c r="N28" s="70">
        <v>0</v>
      </c>
      <c r="O28" s="1"/>
    </row>
    <row r="29" spans="1:15" x14ac:dyDescent="0.15">
      <c r="A29" s="8" t="s">
        <v>153</v>
      </c>
      <c r="B29" s="8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/>
    </row>
    <row r="30" spans="1:15" x14ac:dyDescent="0.15">
      <c r="A30" s="8" t="s">
        <v>154</v>
      </c>
      <c r="B30" s="8">
        <v>1</v>
      </c>
      <c r="C30" s="8">
        <v>1</v>
      </c>
      <c r="D30" s="8">
        <v>1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</v>
      </c>
    </row>
    <row r="31" spans="1:15" x14ac:dyDescent="0.15">
      <c r="A31" s="1" t="s">
        <v>103</v>
      </c>
      <c r="B31" s="8">
        <v>1</v>
      </c>
      <c r="C31" s="8">
        <v>1</v>
      </c>
      <c r="D31" s="8">
        <v>1</v>
      </c>
      <c r="E31" s="8">
        <v>1</v>
      </c>
      <c r="F31" s="8">
        <v>0.67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1</v>
      </c>
    </row>
    <row r="32" spans="1:15" x14ac:dyDescent="0.15">
      <c r="A32" s="1" t="s">
        <v>359</v>
      </c>
      <c r="B32" s="8">
        <v>1</v>
      </c>
      <c r="C32" s="8">
        <v>1</v>
      </c>
      <c r="D32" s="8">
        <v>1</v>
      </c>
      <c r="E32" s="8">
        <v>0.33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0.33</v>
      </c>
      <c r="N32" s="8">
        <v>1</v>
      </c>
    </row>
    <row r="33" spans="1:16" x14ac:dyDescent="0.15">
      <c r="A33" s="1" t="s">
        <v>360</v>
      </c>
      <c r="B33" s="8">
        <v>1</v>
      </c>
      <c r="C33" s="8">
        <v>0</v>
      </c>
      <c r="D33" s="8">
        <v>0</v>
      </c>
      <c r="E33" s="8">
        <v>0</v>
      </c>
      <c r="F33" s="8">
        <v>0</v>
      </c>
      <c r="G33" s="8">
        <v>0.33</v>
      </c>
      <c r="H33" s="8">
        <v>1</v>
      </c>
      <c r="I33" s="8">
        <v>1</v>
      </c>
      <c r="J33" s="8">
        <v>1</v>
      </c>
      <c r="K33" s="8">
        <v>0.33</v>
      </c>
      <c r="L33" s="8">
        <v>0</v>
      </c>
      <c r="M33" s="8">
        <v>0</v>
      </c>
      <c r="N33" s="8">
        <v>0</v>
      </c>
    </row>
    <row r="34" spans="1:16" x14ac:dyDescent="0.15">
      <c r="A34" s="1" t="s">
        <v>156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6" x14ac:dyDescent="0.15">
      <c r="A35" s="1" t="s">
        <v>229</v>
      </c>
      <c r="B35" s="8">
        <v>1</v>
      </c>
      <c r="C35" s="1">
        <v>1</v>
      </c>
      <c r="D35" s="8">
        <v>1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0.67</v>
      </c>
      <c r="N35" s="1">
        <v>1</v>
      </c>
    </row>
    <row r="36" spans="1:16" x14ac:dyDescent="0.15">
      <c r="A36" s="1" t="s">
        <v>157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1</v>
      </c>
      <c r="M36" s="8">
        <v>1</v>
      </c>
      <c r="N36" s="8">
        <v>1</v>
      </c>
      <c r="P36" s="213"/>
    </row>
    <row r="37" spans="1:16" x14ac:dyDescent="0.15">
      <c r="A37" s="1" t="s">
        <v>181</v>
      </c>
      <c r="B37" s="1">
        <v>1</v>
      </c>
      <c r="C37" s="1">
        <v>0</v>
      </c>
      <c r="D37" s="1">
        <v>0</v>
      </c>
      <c r="E37" s="8">
        <v>0</v>
      </c>
      <c r="F37" s="8">
        <v>0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0</v>
      </c>
      <c r="M37" s="8">
        <v>0</v>
      </c>
      <c r="N37" s="1">
        <v>0</v>
      </c>
    </row>
    <row r="38" spans="1:16" x14ac:dyDescent="0.15">
      <c r="A38" s="1" t="s">
        <v>182</v>
      </c>
      <c r="B38" s="1">
        <v>1</v>
      </c>
      <c r="C38" s="1">
        <v>0</v>
      </c>
      <c r="D38" s="1">
        <v>0</v>
      </c>
      <c r="E38" s="8">
        <v>0</v>
      </c>
      <c r="F38" s="8">
        <v>0</v>
      </c>
      <c r="G38" s="8">
        <v>0.67</v>
      </c>
      <c r="H38" s="8">
        <v>1</v>
      </c>
      <c r="I38" s="8">
        <v>1</v>
      </c>
      <c r="J38" s="8">
        <v>1</v>
      </c>
      <c r="K38" s="8">
        <v>0.67</v>
      </c>
      <c r="L38" s="8">
        <v>0</v>
      </c>
      <c r="M38" s="8">
        <v>0</v>
      </c>
      <c r="N38" s="1">
        <v>0</v>
      </c>
    </row>
    <row r="39" spans="1:16" x14ac:dyDescent="0.15">
      <c r="A39" s="1" t="s">
        <v>184</v>
      </c>
      <c r="B39" s="1">
        <v>1</v>
      </c>
      <c r="C39" s="1">
        <v>1</v>
      </c>
      <c r="D39" s="1">
        <v>1</v>
      </c>
      <c r="E39" s="8">
        <v>0.16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1</v>
      </c>
      <c r="N39" s="1">
        <v>1</v>
      </c>
    </row>
  </sheetData>
  <conditionalFormatting sqref="C23:N28">
    <cfRule type="aboveAverage" dxfId="13" priority="71"/>
    <cfRule type="aboveAverage" dxfId="12" priority="72"/>
  </conditionalFormatting>
  <conditionalFormatting sqref="C33:N33">
    <cfRule type="aboveAverage" dxfId="11" priority="75"/>
    <cfRule type="aboveAverage" dxfId="10" priority="76"/>
  </conditionalFormatting>
  <conditionalFormatting sqref="C34:N35">
    <cfRule type="aboveAverage" dxfId="9" priority="83"/>
    <cfRule type="aboveAverage" dxfId="8" priority="84"/>
  </conditionalFormatting>
  <conditionalFormatting sqref="C29:N32 C36:N36">
    <cfRule type="aboveAverage" dxfId="7" priority="85"/>
    <cfRule type="aboveAverage" dxfId="6" priority="86"/>
  </conditionalFormatting>
  <conditionalFormatting sqref="C37:N37">
    <cfRule type="aboveAverage" dxfId="5" priority="87"/>
    <cfRule type="aboveAverage" dxfId="4" priority="88"/>
  </conditionalFormatting>
  <conditionalFormatting sqref="C38:N38">
    <cfRule type="aboveAverage" dxfId="3" priority="89"/>
    <cfRule type="aboveAverage" dxfId="2" priority="90"/>
  </conditionalFormatting>
  <conditionalFormatting sqref="C39:N39">
    <cfRule type="aboveAverage" dxfId="1" priority="91"/>
    <cfRule type="aboveAverage" dxfId="0" priority="92"/>
  </conditionalFormatting>
  <hyperlinks>
    <hyperlink ref="A7" r:id="rId1"/>
    <hyperlink ref="A8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B17" sqref="B17"/>
    </sheetView>
  </sheetViews>
  <sheetFormatPr defaultRowHeight="11.25" x14ac:dyDescent="0.15"/>
  <sheetData>
    <row r="1" spans="1:5" ht="19.5" x14ac:dyDescent="0.25">
      <c r="A1" s="6" t="s">
        <v>49</v>
      </c>
    </row>
    <row r="2" spans="1:5" x14ac:dyDescent="0.15">
      <c r="A2" s="5" t="s">
        <v>407</v>
      </c>
    </row>
    <row r="3" spans="1:5" x14ac:dyDescent="0.15">
      <c r="A3" s="5"/>
    </row>
    <row r="4" spans="1:5" ht="45" x14ac:dyDescent="0.15">
      <c r="A4" s="3" t="s">
        <v>1</v>
      </c>
      <c r="B4" s="19" t="s">
        <v>50</v>
      </c>
      <c r="C4" t="s">
        <v>54</v>
      </c>
    </row>
    <row r="5" spans="1:5" x14ac:dyDescent="0.15">
      <c r="A5" s="26"/>
      <c r="B5" s="24" t="s">
        <v>26</v>
      </c>
      <c r="C5" s="11"/>
      <c r="D5" s="11"/>
      <c r="E5" s="18"/>
    </row>
    <row r="6" spans="1:5" x14ac:dyDescent="0.15">
      <c r="A6" s="27" t="s">
        <v>51</v>
      </c>
      <c r="B6" s="165">
        <v>1</v>
      </c>
      <c r="C6" s="1">
        <v>2</v>
      </c>
      <c r="D6" s="1">
        <v>3</v>
      </c>
      <c r="E6" s="14">
        <v>4</v>
      </c>
    </row>
    <row r="7" spans="1:5" x14ac:dyDescent="0.15">
      <c r="A7" s="13">
        <v>1</v>
      </c>
      <c r="B7" s="222">
        <v>1</v>
      </c>
      <c r="C7" s="223">
        <v>1</v>
      </c>
      <c r="D7" s="223">
        <v>1</v>
      </c>
      <c r="E7" s="224">
        <v>1</v>
      </c>
    </row>
    <row r="8" spans="1:5" x14ac:dyDescent="0.1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1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15">
      <c r="A10" s="13">
        <v>4</v>
      </c>
      <c r="B10" s="220">
        <v>1</v>
      </c>
      <c r="C10" s="35">
        <v>0</v>
      </c>
      <c r="D10" s="35">
        <v>1</v>
      </c>
      <c r="E10" s="221">
        <v>1</v>
      </c>
    </row>
    <row r="11" spans="1:5" x14ac:dyDescent="0.15">
      <c r="A11" s="13">
        <v>5</v>
      </c>
      <c r="B11" s="225">
        <v>0</v>
      </c>
      <c r="C11" s="226">
        <v>1</v>
      </c>
      <c r="D11" s="226">
        <v>1</v>
      </c>
      <c r="E11" s="227">
        <v>1</v>
      </c>
    </row>
    <row r="12" spans="1:5" x14ac:dyDescent="0.15">
      <c r="A12" s="13">
        <v>6</v>
      </c>
      <c r="B12" s="67">
        <v>1</v>
      </c>
      <c r="C12" s="1">
        <v>1</v>
      </c>
      <c r="D12" s="1">
        <v>0</v>
      </c>
      <c r="E12" s="14">
        <v>0</v>
      </c>
    </row>
    <row r="13" spans="1:5" x14ac:dyDescent="0.15">
      <c r="A13" s="13">
        <v>7</v>
      </c>
      <c r="B13" s="67">
        <v>1</v>
      </c>
      <c r="C13" s="1">
        <v>0</v>
      </c>
      <c r="D13" s="1">
        <v>1</v>
      </c>
      <c r="E13" s="14">
        <v>0</v>
      </c>
    </row>
    <row r="14" spans="1:5" x14ac:dyDescent="0.1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15">
      <c r="A15" s="13">
        <v>9</v>
      </c>
      <c r="B15" s="67">
        <v>1</v>
      </c>
      <c r="C15" s="1">
        <v>0</v>
      </c>
      <c r="D15" s="1">
        <v>0</v>
      </c>
      <c r="E15" s="14">
        <v>1</v>
      </c>
    </row>
    <row r="16" spans="1:5" x14ac:dyDescent="0.1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15">
      <c r="A17" s="13">
        <v>11</v>
      </c>
      <c r="B17" s="220">
        <v>0</v>
      </c>
      <c r="C17" s="35">
        <v>0</v>
      </c>
      <c r="D17" s="35">
        <v>1</v>
      </c>
      <c r="E17" s="221">
        <v>1</v>
      </c>
    </row>
    <row r="18" spans="1:5" x14ac:dyDescent="0.15">
      <c r="A18" s="13">
        <v>12</v>
      </c>
      <c r="B18" s="67">
        <v>1</v>
      </c>
      <c r="C18" s="1">
        <v>0</v>
      </c>
      <c r="D18" s="1">
        <v>0</v>
      </c>
      <c r="E18" s="14">
        <v>0</v>
      </c>
    </row>
    <row r="19" spans="1:5" x14ac:dyDescent="0.1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1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1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1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15">
      <c r="A23" s="1"/>
      <c r="B2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E4" sqref="E4"/>
    </sheetView>
  </sheetViews>
  <sheetFormatPr defaultRowHeight="11.25" x14ac:dyDescent="0.15"/>
  <sheetData>
    <row r="1" spans="1:5" ht="19.5" x14ac:dyDescent="0.25">
      <c r="A1" s="6" t="s">
        <v>301</v>
      </c>
    </row>
    <row r="2" spans="1:5" x14ac:dyDescent="0.15">
      <c r="A2" s="5"/>
    </row>
    <row r="3" spans="1:5" x14ac:dyDescent="0.15">
      <c r="A3" s="5"/>
    </row>
    <row r="4" spans="1:5" ht="45" x14ac:dyDescent="0.15">
      <c r="A4" s="3" t="s">
        <v>1</v>
      </c>
      <c r="B4" s="19" t="s">
        <v>50</v>
      </c>
      <c r="C4" t="s">
        <v>54</v>
      </c>
    </row>
    <row r="5" spans="1:5" x14ac:dyDescent="0.15">
      <c r="A5" s="26"/>
      <c r="B5" s="24" t="s">
        <v>26</v>
      </c>
      <c r="C5" s="11"/>
      <c r="D5" s="11"/>
      <c r="E5" s="18"/>
    </row>
    <row r="6" spans="1:5" x14ac:dyDescent="0.15">
      <c r="A6" s="27" t="s">
        <v>51</v>
      </c>
      <c r="B6" s="25">
        <v>1</v>
      </c>
      <c r="C6" s="16">
        <v>2</v>
      </c>
      <c r="D6" s="16">
        <v>3</v>
      </c>
      <c r="E6" s="17">
        <v>4</v>
      </c>
    </row>
    <row r="7" spans="1:5" x14ac:dyDescent="0.15">
      <c r="A7" s="28">
        <v>1</v>
      </c>
      <c r="B7" s="1">
        <v>1</v>
      </c>
      <c r="C7" s="1">
        <v>1</v>
      </c>
      <c r="D7" s="1">
        <v>1</v>
      </c>
      <c r="E7" s="14">
        <v>1</v>
      </c>
    </row>
    <row r="8" spans="1:5" x14ac:dyDescent="0.15">
      <c r="A8" s="28">
        <v>2</v>
      </c>
      <c r="B8" s="1">
        <v>1</v>
      </c>
      <c r="C8" s="1">
        <v>1</v>
      </c>
      <c r="D8" s="1">
        <v>1</v>
      </c>
      <c r="E8" s="14">
        <v>0</v>
      </c>
    </row>
    <row r="9" spans="1:5" x14ac:dyDescent="0.15">
      <c r="A9" s="28">
        <v>3</v>
      </c>
      <c r="B9" s="1">
        <v>1</v>
      </c>
      <c r="C9" s="1">
        <v>0</v>
      </c>
      <c r="D9" s="1">
        <v>0</v>
      </c>
      <c r="E9" s="14">
        <v>1</v>
      </c>
    </row>
    <row r="10" spans="1:5" x14ac:dyDescent="0.15">
      <c r="A10" s="28">
        <v>4</v>
      </c>
      <c r="B10" s="8">
        <v>0</v>
      </c>
      <c r="C10" s="1">
        <v>1</v>
      </c>
      <c r="D10" s="1">
        <v>1</v>
      </c>
      <c r="E10" s="14">
        <v>1</v>
      </c>
    </row>
    <row r="11" spans="1:5" x14ac:dyDescent="0.15">
      <c r="A11" s="28">
        <v>5</v>
      </c>
      <c r="B11" s="8">
        <v>0</v>
      </c>
      <c r="C11" s="1">
        <v>0</v>
      </c>
      <c r="D11" s="1">
        <v>0</v>
      </c>
      <c r="E11" s="14">
        <v>1</v>
      </c>
    </row>
    <row r="12" spans="1:5" x14ac:dyDescent="0.15">
      <c r="A12" s="28">
        <v>6</v>
      </c>
      <c r="B12" s="8">
        <v>1</v>
      </c>
      <c r="C12" s="1">
        <v>0</v>
      </c>
      <c r="D12" s="1">
        <v>0</v>
      </c>
      <c r="E12" s="14">
        <v>0</v>
      </c>
    </row>
    <row r="13" spans="1:5" x14ac:dyDescent="0.15">
      <c r="A13" s="28">
        <v>7</v>
      </c>
      <c r="B13" s="8">
        <v>0</v>
      </c>
      <c r="C13" s="1">
        <v>1</v>
      </c>
      <c r="D13" s="1">
        <v>1</v>
      </c>
      <c r="E13" s="14">
        <v>0</v>
      </c>
    </row>
    <row r="14" spans="1:5" x14ac:dyDescent="0.15">
      <c r="A14" s="29">
        <v>8</v>
      </c>
      <c r="B14" s="30">
        <v>0</v>
      </c>
      <c r="C14" s="16">
        <v>0</v>
      </c>
      <c r="D14" s="16">
        <v>0</v>
      </c>
      <c r="E14" s="17">
        <v>0</v>
      </c>
    </row>
    <row r="15" spans="1:5" x14ac:dyDescent="0.15">
      <c r="A15" s="1"/>
      <c r="B15" s="8"/>
      <c r="C15" s="1"/>
      <c r="D15" s="1"/>
      <c r="E15" s="1"/>
    </row>
    <row r="16" spans="1:5" x14ac:dyDescent="0.15">
      <c r="A16" s="1"/>
      <c r="B16" s="8"/>
      <c r="C16" s="1"/>
      <c r="D16" s="1"/>
      <c r="E16" s="1"/>
    </row>
    <row r="17" spans="1:5" x14ac:dyDescent="0.15">
      <c r="A17" s="1"/>
      <c r="B17" s="8"/>
      <c r="C17" s="1"/>
      <c r="D17" s="1"/>
      <c r="E17" s="1"/>
    </row>
    <row r="18" spans="1:5" x14ac:dyDescent="0.15">
      <c r="A18" s="1"/>
      <c r="B18" s="8"/>
      <c r="C18" s="1"/>
      <c r="D18" s="1"/>
      <c r="E18" s="1"/>
    </row>
    <row r="19" spans="1:5" x14ac:dyDescent="0.15">
      <c r="A19" s="1"/>
      <c r="B19" s="8"/>
      <c r="C19" s="1"/>
      <c r="D19" s="1"/>
      <c r="E19" s="1"/>
    </row>
    <row r="20" spans="1:5" x14ac:dyDescent="0.15">
      <c r="A20" s="1"/>
      <c r="B20" s="8"/>
      <c r="C20" s="1"/>
      <c r="D20" s="1"/>
      <c r="E20" s="1"/>
    </row>
    <row r="21" spans="1:5" x14ac:dyDescent="0.15">
      <c r="A21" s="1"/>
      <c r="B21" s="8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"/>
  <sheetViews>
    <sheetView showGridLines="0" zoomScaleNormal="100" workbookViewId="0">
      <pane xSplit="5" ySplit="25" topLeftCell="F122" activePane="bottomRight" state="frozen"/>
      <selection pane="topRight" activeCell="F1" sqref="F1"/>
      <selection pane="bottomLeft" activeCell="A26" sqref="A26"/>
      <selection pane="bottomRight" activeCell="K16" sqref="K16"/>
    </sheetView>
  </sheetViews>
  <sheetFormatPr defaultRowHeight="11.25" x14ac:dyDescent="0.15"/>
  <cols>
    <col min="1" max="1" width="12.75" customWidth="1"/>
    <col min="2" max="2" width="15" customWidth="1"/>
    <col min="17" max="17" width="12" customWidth="1"/>
  </cols>
  <sheetData>
    <row r="1" spans="1:18" ht="19.5" x14ac:dyDescent="0.25">
      <c r="A1" s="6" t="s">
        <v>211</v>
      </c>
    </row>
    <row r="4" spans="1:18" x14ac:dyDescent="0.15">
      <c r="A4" s="97" t="s">
        <v>139</v>
      </c>
      <c r="B4" s="12"/>
      <c r="C4" s="12"/>
      <c r="D4" s="12"/>
      <c r="E4" s="12"/>
      <c r="F4" s="12"/>
      <c r="G4" s="77"/>
      <c r="H4" s="96" t="s">
        <v>140</v>
      </c>
      <c r="I4" s="12"/>
      <c r="J4" s="12"/>
      <c r="K4" s="12"/>
      <c r="L4" s="12"/>
      <c r="M4" s="12"/>
      <c r="N4" s="12"/>
      <c r="O4" s="12"/>
      <c r="P4" s="12"/>
      <c r="Q4" s="12"/>
      <c r="R4" s="77"/>
    </row>
    <row r="5" spans="1:18" x14ac:dyDescent="0.15">
      <c r="A5" s="8"/>
      <c r="B5" s="8"/>
      <c r="C5" s="8"/>
      <c r="D5" s="8"/>
      <c r="E5" s="8"/>
      <c r="F5" s="8"/>
      <c r="G5" s="78"/>
      <c r="H5" s="67"/>
      <c r="I5" s="8"/>
      <c r="J5" s="8"/>
      <c r="K5" s="8"/>
      <c r="L5" s="1"/>
      <c r="M5" s="66"/>
      <c r="N5" s="66"/>
      <c r="O5" s="8"/>
      <c r="P5" s="8"/>
      <c r="Q5" s="8"/>
      <c r="R5" s="78"/>
    </row>
    <row r="6" spans="1:18" x14ac:dyDescent="0.15">
      <c r="A6" s="8"/>
      <c r="B6" s="8"/>
      <c r="C6" s="8"/>
      <c r="D6" s="8"/>
      <c r="E6" s="8"/>
      <c r="F6" s="8"/>
      <c r="G6" s="78"/>
      <c r="J6" s="8"/>
      <c r="K6" s="8"/>
      <c r="L6" s="1"/>
      <c r="M6" s="66"/>
      <c r="N6" s="66"/>
      <c r="O6" s="8"/>
      <c r="P6" s="8"/>
      <c r="Q6" s="8"/>
      <c r="R6" s="78"/>
    </row>
    <row r="7" spans="1:18" x14ac:dyDescent="0.15">
      <c r="A7" t="s">
        <v>425</v>
      </c>
      <c r="B7" s="8"/>
      <c r="C7" s="8"/>
      <c r="D7" s="8"/>
      <c r="E7" s="8"/>
      <c r="F7" s="8"/>
      <c r="G7" s="78"/>
      <c r="H7" s="67"/>
      <c r="I7" s="8"/>
      <c r="J7" s="8"/>
      <c r="K7" s="8"/>
      <c r="M7" s="66"/>
      <c r="N7" s="66"/>
      <c r="O7" s="8"/>
      <c r="P7" s="8"/>
      <c r="Q7" s="8"/>
      <c r="R7" s="78"/>
    </row>
    <row r="8" spans="1:18" x14ac:dyDescent="0.15">
      <c r="A8" s="137" t="s">
        <v>214</v>
      </c>
      <c r="B8" s="8"/>
      <c r="C8" s="8"/>
      <c r="D8" s="8"/>
      <c r="E8" s="8"/>
      <c r="F8" s="8"/>
      <c r="G8" s="78"/>
      <c r="H8" s="67"/>
      <c r="I8" s="8"/>
      <c r="J8" s="8"/>
      <c r="K8" s="8"/>
      <c r="M8" s="66"/>
      <c r="N8" s="66"/>
      <c r="O8" s="8"/>
      <c r="P8" s="8"/>
      <c r="Q8" s="8"/>
      <c r="R8" s="78"/>
    </row>
    <row r="9" spans="1:18" x14ac:dyDescent="0.15">
      <c r="A9" s="137" t="s">
        <v>215</v>
      </c>
      <c r="B9" s="8"/>
      <c r="C9" s="8"/>
      <c r="D9" s="8"/>
      <c r="E9" s="8"/>
      <c r="F9" s="8"/>
      <c r="G9" s="78"/>
      <c r="H9" s="67"/>
      <c r="I9" s="79"/>
      <c r="J9" s="79"/>
      <c r="K9" s="79"/>
      <c r="M9" s="66"/>
      <c r="N9" s="66"/>
      <c r="O9" s="79"/>
      <c r="P9" s="8"/>
      <c r="Q9" s="8"/>
      <c r="R9" s="78"/>
    </row>
    <row r="10" spans="1:18" x14ac:dyDescent="0.15">
      <c r="B10" s="8"/>
      <c r="C10" s="8"/>
      <c r="D10" s="8"/>
      <c r="E10" s="8"/>
      <c r="F10" s="8"/>
      <c r="G10" s="78"/>
      <c r="H10" s="67"/>
      <c r="I10" s="8"/>
      <c r="J10" s="8"/>
      <c r="K10" s="8"/>
      <c r="M10" s="66"/>
      <c r="N10" s="66"/>
      <c r="O10" s="8"/>
      <c r="P10" s="8"/>
      <c r="Q10" s="8"/>
      <c r="R10" s="78"/>
    </row>
    <row r="11" spans="1:18" x14ac:dyDescent="0.15">
      <c r="A11" s="37" t="s">
        <v>411</v>
      </c>
      <c r="B11" s="8"/>
      <c r="C11" s="8"/>
      <c r="D11" s="8"/>
      <c r="E11" s="8"/>
      <c r="F11" s="8"/>
      <c r="G11" s="78"/>
      <c r="H11" s="67"/>
      <c r="I11" s="8"/>
      <c r="J11" s="8"/>
      <c r="K11" s="8"/>
      <c r="M11" s="66"/>
      <c r="N11" s="66"/>
      <c r="O11" s="8"/>
      <c r="P11" s="8"/>
      <c r="Q11" s="8"/>
      <c r="R11" s="78"/>
    </row>
    <row r="12" spans="1:18" x14ac:dyDescent="0.15">
      <c r="A12" s="191" t="s">
        <v>410</v>
      </c>
      <c r="B12" s="8"/>
      <c r="C12" s="8"/>
      <c r="D12" s="8"/>
      <c r="E12" s="8"/>
      <c r="F12" s="8"/>
      <c r="G12" s="78"/>
      <c r="H12" s="67"/>
      <c r="I12" s="8"/>
      <c r="J12" s="8"/>
      <c r="K12" s="8"/>
      <c r="M12" s="66"/>
      <c r="N12" s="66"/>
      <c r="O12" s="8"/>
      <c r="P12" s="8"/>
      <c r="Q12" s="8"/>
      <c r="R12" s="78"/>
    </row>
    <row r="13" spans="1:18" x14ac:dyDescent="0.15">
      <c r="A13" s="8"/>
      <c r="B13" s="8"/>
      <c r="C13" s="8"/>
      <c r="D13" s="8"/>
      <c r="E13" s="8"/>
      <c r="F13" s="8"/>
      <c r="G13" s="78"/>
      <c r="H13" s="67"/>
      <c r="I13" s="8"/>
      <c r="J13" s="8"/>
      <c r="K13" s="8"/>
      <c r="M13" s="66"/>
      <c r="N13" s="66"/>
      <c r="O13" s="8"/>
      <c r="P13" s="8"/>
      <c r="Q13" s="8"/>
      <c r="R13" s="78"/>
    </row>
    <row r="14" spans="1:18" x14ac:dyDescent="0.15">
      <c r="A14" s="8" t="s">
        <v>426</v>
      </c>
      <c r="B14" s="8"/>
      <c r="C14" s="8"/>
      <c r="D14" s="8"/>
      <c r="E14" s="8"/>
      <c r="F14" s="8"/>
      <c r="G14" s="78"/>
      <c r="H14" s="67"/>
      <c r="I14" s="8"/>
      <c r="J14" s="8"/>
      <c r="K14" s="8"/>
      <c r="M14" s="66"/>
      <c r="N14" s="66"/>
      <c r="O14" s="8"/>
      <c r="P14" s="8"/>
      <c r="Q14" s="8"/>
      <c r="R14" s="78"/>
    </row>
    <row r="15" spans="1:18" x14ac:dyDescent="0.15">
      <c r="A15" s="202" t="s">
        <v>408</v>
      </c>
      <c r="B15" s="8"/>
      <c r="C15" s="8"/>
      <c r="D15" s="8"/>
      <c r="E15" s="8"/>
      <c r="F15" s="8"/>
      <c r="G15" s="78"/>
      <c r="H15" s="67"/>
      <c r="I15" s="8"/>
      <c r="J15" s="8"/>
      <c r="K15" s="8"/>
      <c r="M15" s="66"/>
      <c r="N15" s="66"/>
      <c r="O15" s="8"/>
      <c r="P15" s="8"/>
      <c r="Q15" s="8"/>
      <c r="R15" s="78"/>
    </row>
    <row r="16" spans="1:18" x14ac:dyDescent="0.15">
      <c r="A16" s="204" t="s">
        <v>409</v>
      </c>
      <c r="B16" s="8"/>
      <c r="C16" s="8"/>
      <c r="D16" s="8"/>
      <c r="E16" s="8"/>
      <c r="F16" s="8"/>
      <c r="G16" s="78"/>
      <c r="H16" s="67"/>
      <c r="I16" s="8"/>
      <c r="J16" s="8"/>
      <c r="K16" s="8"/>
      <c r="M16" s="66"/>
      <c r="N16" s="66"/>
      <c r="O16" s="8"/>
      <c r="P16" s="8"/>
      <c r="Q16" s="8"/>
      <c r="R16" s="78"/>
    </row>
    <row r="17" spans="1:40" x14ac:dyDescent="0.15">
      <c r="A17" s="137"/>
      <c r="B17" s="8"/>
      <c r="C17" s="8"/>
      <c r="D17" s="8"/>
      <c r="E17" s="8"/>
      <c r="F17" s="8"/>
      <c r="G17" s="78"/>
      <c r="H17" s="67"/>
      <c r="I17" s="8"/>
      <c r="J17" s="8"/>
      <c r="K17" s="8"/>
      <c r="M17" s="66"/>
      <c r="N17" s="66"/>
      <c r="O17" s="8"/>
      <c r="P17" s="8"/>
      <c r="Q17" s="8"/>
      <c r="R17" s="78"/>
    </row>
    <row r="18" spans="1:40" x14ac:dyDescent="0.15">
      <c r="A18" s="30"/>
      <c r="B18" s="30"/>
      <c r="C18" s="30"/>
      <c r="D18" s="30"/>
      <c r="E18" s="30"/>
      <c r="F18" s="30"/>
      <c r="G18" s="76"/>
      <c r="H18" s="75"/>
      <c r="I18" s="30"/>
      <c r="J18" s="30"/>
      <c r="K18" s="30"/>
      <c r="L18" s="16"/>
      <c r="M18" s="207"/>
      <c r="N18" s="207"/>
      <c r="O18" s="30"/>
      <c r="P18" s="30"/>
      <c r="Q18" s="30"/>
      <c r="R18" s="76"/>
    </row>
    <row r="20" spans="1:40" x14ac:dyDescent="0.15">
      <c r="A20" s="2" t="s">
        <v>381</v>
      </c>
    </row>
    <row r="21" spans="1:40" x14ac:dyDescent="0.15">
      <c r="B21" s="205" t="s">
        <v>477</v>
      </c>
      <c r="C21" s="9" t="s">
        <v>27</v>
      </c>
    </row>
    <row r="22" spans="1:40" ht="12" thickBot="1" x14ac:dyDescent="0.2">
      <c r="A22" s="57" t="s">
        <v>322</v>
      </c>
      <c r="B22" s="60" t="s">
        <v>60</v>
      </c>
      <c r="C22" s="65" t="s">
        <v>100</v>
      </c>
      <c r="D22" s="65" t="s">
        <v>105</v>
      </c>
      <c r="E22" s="65" t="s">
        <v>181</v>
      </c>
      <c r="F22" s="65" t="s">
        <v>101</v>
      </c>
      <c r="G22" s="65" t="s">
        <v>360</v>
      </c>
      <c r="H22" s="65" t="s">
        <v>359</v>
      </c>
      <c r="I22" s="65" t="s">
        <v>156</v>
      </c>
      <c r="J22" s="65" t="s">
        <v>229</v>
      </c>
      <c r="K22" s="65" t="s">
        <v>153</v>
      </c>
      <c r="L22" s="65" t="s">
        <v>102</v>
      </c>
      <c r="M22" s="65" t="s">
        <v>104</v>
      </c>
      <c r="N22" s="65" t="s">
        <v>99</v>
      </c>
      <c r="O22" s="65" t="s">
        <v>103</v>
      </c>
      <c r="P22" s="65" t="s">
        <v>154</v>
      </c>
      <c r="Q22" s="65" t="s">
        <v>157</v>
      </c>
      <c r="R22" s="65" t="s">
        <v>182</v>
      </c>
      <c r="S22" s="65" t="s">
        <v>184</v>
      </c>
    </row>
    <row r="23" spans="1:40" x14ac:dyDescent="0.15">
      <c r="A23" s="59" t="s">
        <v>142</v>
      </c>
      <c r="B23" s="37" t="s">
        <v>93</v>
      </c>
      <c r="C23" s="37">
        <v>0.13600000000000001</v>
      </c>
      <c r="D23" s="37">
        <v>0</v>
      </c>
      <c r="E23" s="37">
        <v>0</v>
      </c>
      <c r="F23" s="37">
        <v>6.4000000000000001E-2</v>
      </c>
      <c r="G23" s="37">
        <v>0</v>
      </c>
      <c r="H23" s="37">
        <v>0</v>
      </c>
      <c r="I23" s="37">
        <v>0</v>
      </c>
      <c r="J23" s="37">
        <v>4.8000000000000001E-2</v>
      </c>
      <c r="K23" s="37">
        <v>2.3E-2</v>
      </c>
      <c r="L23" s="37">
        <v>0</v>
      </c>
      <c r="M23" s="37">
        <v>0</v>
      </c>
      <c r="N23" s="37">
        <v>99000</v>
      </c>
      <c r="O23" s="37">
        <v>0</v>
      </c>
      <c r="P23" s="37">
        <v>99000</v>
      </c>
      <c r="Q23" s="203">
        <v>4.2333333333333334E-2</v>
      </c>
      <c r="R23" s="203">
        <v>4.2333333333333334E-2</v>
      </c>
      <c r="S23" s="203">
        <v>4.2333333333333334E-2</v>
      </c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</row>
    <row r="24" spans="1:40" x14ac:dyDescent="0.15">
      <c r="A24" s="59"/>
      <c r="B24" s="37" t="s">
        <v>92</v>
      </c>
      <c r="C24" s="37">
        <v>0</v>
      </c>
      <c r="D24" s="37">
        <v>1</v>
      </c>
      <c r="E24" s="37">
        <v>0</v>
      </c>
      <c r="F24" s="37">
        <v>0.75</v>
      </c>
      <c r="G24" s="37">
        <v>0</v>
      </c>
      <c r="H24" s="37">
        <v>0</v>
      </c>
      <c r="I24" s="37">
        <v>0</v>
      </c>
      <c r="J24" s="37">
        <v>0</v>
      </c>
      <c r="K24" s="37">
        <v>0.75</v>
      </c>
      <c r="L24" s="37">
        <v>0</v>
      </c>
      <c r="M24" s="37">
        <v>0</v>
      </c>
      <c r="N24" s="37">
        <v>99000</v>
      </c>
      <c r="O24" s="37">
        <v>0</v>
      </c>
      <c r="P24" s="37">
        <v>99000</v>
      </c>
      <c r="Q24" s="37">
        <v>0</v>
      </c>
      <c r="R24" s="37">
        <v>0</v>
      </c>
      <c r="S24" s="37">
        <v>0</v>
      </c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</row>
    <row r="25" spans="1:40" x14ac:dyDescent="0.15">
      <c r="A25" s="59"/>
      <c r="B25" s="37" t="s">
        <v>91</v>
      </c>
      <c r="C25" s="37">
        <v>0</v>
      </c>
      <c r="D25" s="37">
        <v>0.5</v>
      </c>
      <c r="E25" s="37">
        <v>0</v>
      </c>
      <c r="F25" s="37">
        <v>0.25</v>
      </c>
      <c r="G25" s="37">
        <v>0</v>
      </c>
      <c r="H25" s="37">
        <v>0</v>
      </c>
      <c r="I25" s="37">
        <v>0</v>
      </c>
      <c r="J25" s="37">
        <v>0</v>
      </c>
      <c r="K25" s="37">
        <v>0.25</v>
      </c>
      <c r="L25" s="37">
        <v>0</v>
      </c>
      <c r="M25" s="37">
        <v>0</v>
      </c>
      <c r="N25" s="37">
        <v>99000</v>
      </c>
      <c r="O25" s="37">
        <v>0</v>
      </c>
      <c r="P25" s="37">
        <v>99000</v>
      </c>
      <c r="Q25" s="37">
        <v>0</v>
      </c>
      <c r="R25" s="37">
        <v>0</v>
      </c>
      <c r="S25" s="37">
        <v>0</v>
      </c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</row>
    <row r="26" spans="1:40" x14ac:dyDescent="0.15">
      <c r="A26" s="59"/>
      <c r="B26" s="37" t="s">
        <v>90</v>
      </c>
      <c r="C26" s="37">
        <v>0</v>
      </c>
      <c r="D26" s="37">
        <v>0.25</v>
      </c>
      <c r="E26" s="37">
        <v>0</v>
      </c>
      <c r="F26" s="37">
        <v>0.25</v>
      </c>
      <c r="G26" s="37">
        <v>0</v>
      </c>
      <c r="H26" s="37">
        <v>0</v>
      </c>
      <c r="I26" s="37">
        <v>0</v>
      </c>
      <c r="J26" s="37">
        <v>0</v>
      </c>
      <c r="K26" s="37">
        <v>0.25</v>
      </c>
      <c r="L26" s="37">
        <v>0</v>
      </c>
      <c r="M26" s="37">
        <v>0</v>
      </c>
      <c r="N26" s="37">
        <v>99000</v>
      </c>
      <c r="O26" s="37">
        <v>0</v>
      </c>
      <c r="P26" s="37">
        <v>99000</v>
      </c>
      <c r="Q26" s="37">
        <v>0</v>
      </c>
      <c r="R26" s="37">
        <v>0</v>
      </c>
      <c r="S26" s="37">
        <v>0</v>
      </c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</row>
    <row r="27" spans="1:40" x14ac:dyDescent="0.15">
      <c r="A27" s="59"/>
      <c r="B27" s="37" t="s">
        <v>89</v>
      </c>
      <c r="C27" s="37">
        <v>7.8E-2</v>
      </c>
      <c r="D27" s="37">
        <v>0</v>
      </c>
      <c r="E27" s="37">
        <v>0</v>
      </c>
      <c r="F27" s="37">
        <v>3.6000000000000004E-2</v>
      </c>
      <c r="G27" s="37">
        <v>0</v>
      </c>
      <c r="H27" s="37">
        <v>0</v>
      </c>
      <c r="I27" s="37">
        <v>0</v>
      </c>
      <c r="J27" s="37">
        <v>2.7E-2</v>
      </c>
      <c r="K27" s="37">
        <v>1.2999999999999999E-2</v>
      </c>
      <c r="L27" s="37">
        <v>0</v>
      </c>
      <c r="M27" s="37">
        <v>0</v>
      </c>
      <c r="N27" s="37">
        <v>99000</v>
      </c>
      <c r="O27" s="37">
        <v>0</v>
      </c>
      <c r="P27" s="37">
        <v>99000</v>
      </c>
      <c r="Q27" s="37">
        <v>2.4333333333333332E-2</v>
      </c>
      <c r="R27" s="37">
        <v>2.4333333333333332E-2</v>
      </c>
      <c r="S27" s="37">
        <v>2.4333333333333332E-2</v>
      </c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</row>
    <row r="28" spans="1:40" x14ac:dyDescent="0.15">
      <c r="A28" s="59"/>
      <c r="B28" s="37" t="s">
        <v>88</v>
      </c>
      <c r="C28" s="37">
        <v>0</v>
      </c>
      <c r="D28" s="37">
        <v>0.35</v>
      </c>
      <c r="E28" s="37">
        <v>0</v>
      </c>
      <c r="F28" s="37">
        <v>0.14499999999999999</v>
      </c>
      <c r="G28" s="37">
        <v>0</v>
      </c>
      <c r="H28" s="37">
        <v>0</v>
      </c>
      <c r="I28" s="37">
        <v>0</v>
      </c>
      <c r="J28" s="37">
        <v>0</v>
      </c>
      <c r="K28" s="37">
        <v>0.125</v>
      </c>
      <c r="L28" s="37">
        <v>0</v>
      </c>
      <c r="M28" s="37">
        <v>0</v>
      </c>
      <c r="N28" s="37">
        <v>99000</v>
      </c>
      <c r="O28" s="37">
        <v>0</v>
      </c>
      <c r="P28" s="37">
        <v>99000</v>
      </c>
      <c r="Q28" s="37">
        <v>0</v>
      </c>
      <c r="R28" s="37">
        <v>0</v>
      </c>
      <c r="S28" s="37">
        <v>0</v>
      </c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</row>
    <row r="29" spans="1:40" x14ac:dyDescent="0.15">
      <c r="A29" s="59"/>
      <c r="B29" s="37" t="s">
        <v>303</v>
      </c>
      <c r="C29" s="37">
        <v>2.2349999999999999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0.59599999999999997</v>
      </c>
      <c r="J29" s="37">
        <v>0.502</v>
      </c>
      <c r="K29" s="37">
        <v>8.2000000000000003E-2</v>
      </c>
      <c r="L29" s="37">
        <v>33.067999999999998</v>
      </c>
      <c r="M29" s="37">
        <v>0</v>
      </c>
      <c r="N29" s="37">
        <v>99000</v>
      </c>
      <c r="O29" s="37">
        <v>1.7329999999999999</v>
      </c>
      <c r="P29" s="37">
        <v>99000</v>
      </c>
      <c r="Q29" s="37">
        <v>0</v>
      </c>
      <c r="R29" s="37">
        <v>0</v>
      </c>
      <c r="S29" s="37">
        <v>0</v>
      </c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</row>
    <row r="30" spans="1:40" x14ac:dyDescent="0.15">
      <c r="A30" s="59"/>
      <c r="B30" s="37" t="s">
        <v>86</v>
      </c>
      <c r="C30" s="37">
        <v>10.703000000000001</v>
      </c>
      <c r="D30" s="37">
        <v>0</v>
      </c>
      <c r="E30" s="37">
        <v>0</v>
      </c>
      <c r="F30" s="37">
        <v>2.294</v>
      </c>
      <c r="G30" s="37">
        <v>0</v>
      </c>
      <c r="H30" s="37">
        <v>0</v>
      </c>
      <c r="I30" s="37">
        <v>1.8940000000000001</v>
      </c>
      <c r="J30" s="37">
        <v>2.02</v>
      </c>
      <c r="K30" s="37">
        <v>1.048</v>
      </c>
      <c r="L30" s="37">
        <v>6.4339999999999993</v>
      </c>
      <c r="M30" s="37">
        <v>0</v>
      </c>
      <c r="N30" s="37">
        <v>99000</v>
      </c>
      <c r="O30" s="37">
        <v>2.363</v>
      </c>
      <c r="P30" s="37">
        <v>99000</v>
      </c>
      <c r="Q30" s="37">
        <v>3.1343333333333336</v>
      </c>
      <c r="R30" s="37">
        <v>3.1343333333333336</v>
      </c>
      <c r="S30" s="37">
        <v>3.1343333333333336</v>
      </c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</row>
    <row r="31" spans="1:40" x14ac:dyDescent="0.15">
      <c r="A31" s="59"/>
      <c r="B31" s="37" t="s">
        <v>85</v>
      </c>
      <c r="C31" s="37">
        <v>4.6889999999999992</v>
      </c>
      <c r="D31" s="37">
        <v>0</v>
      </c>
      <c r="E31" s="37">
        <v>0</v>
      </c>
      <c r="F31" s="37">
        <v>2.5249999999999999</v>
      </c>
      <c r="G31" s="37">
        <v>0.24099999999999999</v>
      </c>
      <c r="H31" s="37">
        <v>0</v>
      </c>
      <c r="I31" s="37">
        <v>0</v>
      </c>
      <c r="J31" s="37">
        <v>1.641</v>
      </c>
      <c r="K31" s="37">
        <v>1.5629999999999999</v>
      </c>
      <c r="L31" s="37">
        <v>0</v>
      </c>
      <c r="M31" s="37">
        <v>0</v>
      </c>
      <c r="N31" s="37">
        <v>99000</v>
      </c>
      <c r="O31" s="37">
        <v>0</v>
      </c>
      <c r="P31" s="37">
        <v>99000</v>
      </c>
      <c r="Q31" s="37">
        <v>0.36066666666666669</v>
      </c>
      <c r="R31" s="37">
        <v>0.36066666666666669</v>
      </c>
      <c r="S31" s="37">
        <v>0.36066666666666669</v>
      </c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</row>
    <row r="32" spans="1:40" x14ac:dyDescent="0.15">
      <c r="A32" s="59"/>
      <c r="B32" s="37" t="s">
        <v>84</v>
      </c>
      <c r="C32" s="37">
        <v>5.24</v>
      </c>
      <c r="D32" s="37">
        <v>0</v>
      </c>
      <c r="E32" s="37">
        <v>0</v>
      </c>
      <c r="F32" s="37">
        <v>1.0720000000000001</v>
      </c>
      <c r="G32" s="37">
        <v>0</v>
      </c>
      <c r="H32" s="37">
        <v>0</v>
      </c>
      <c r="I32" s="37">
        <v>1.4950000000000001</v>
      </c>
      <c r="J32" s="37">
        <v>0.86399999999999999</v>
      </c>
      <c r="K32" s="37">
        <v>0.64600000000000002</v>
      </c>
      <c r="L32" s="37">
        <v>3.6180000000000003</v>
      </c>
      <c r="M32" s="37">
        <v>0</v>
      </c>
      <c r="N32" s="37">
        <v>99000</v>
      </c>
      <c r="O32" s="37">
        <v>1.3290000000000002</v>
      </c>
      <c r="P32" s="37">
        <v>99000</v>
      </c>
      <c r="Q32" s="37">
        <v>1.2886666666666666</v>
      </c>
      <c r="R32" s="37">
        <v>1.2886666666666666</v>
      </c>
      <c r="S32" s="37">
        <v>1.2886666666666666</v>
      </c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</row>
    <row r="33" spans="1:37" x14ac:dyDescent="0.15">
      <c r="A33" s="59"/>
      <c r="B33" s="37" t="s">
        <v>131</v>
      </c>
      <c r="C33" s="37">
        <v>0</v>
      </c>
      <c r="D33" s="37">
        <v>9.8089999999999993</v>
      </c>
      <c r="E33" s="37">
        <v>1.1540000000000001</v>
      </c>
      <c r="F33" s="37">
        <v>0.57700000000000007</v>
      </c>
      <c r="G33" s="37">
        <v>0</v>
      </c>
      <c r="H33" s="37">
        <v>0</v>
      </c>
      <c r="I33" s="37">
        <v>6.0000000000000005E-2</v>
      </c>
      <c r="J33" s="37">
        <v>0</v>
      </c>
      <c r="K33" s="37">
        <v>0</v>
      </c>
      <c r="L33" s="37">
        <v>0</v>
      </c>
      <c r="M33" s="37">
        <v>9.8089999999999993</v>
      </c>
      <c r="N33" s="37">
        <v>99000</v>
      </c>
      <c r="O33" s="37">
        <v>0.20799999999999999</v>
      </c>
      <c r="P33" s="37">
        <v>99000</v>
      </c>
      <c r="Q33" s="37">
        <v>9.2333333333333337E-2</v>
      </c>
      <c r="R33" s="37">
        <v>9.2333333333333337E-2</v>
      </c>
      <c r="S33" s="37">
        <v>9.2333333333333337E-2</v>
      </c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</row>
    <row r="34" spans="1:37" x14ac:dyDescent="0.15">
      <c r="A34" s="59"/>
      <c r="B34" s="37" t="s">
        <v>132</v>
      </c>
      <c r="C34" s="37">
        <v>0</v>
      </c>
      <c r="D34" s="37">
        <v>3.516</v>
      </c>
      <c r="E34" s="37">
        <v>1.7249999999999999</v>
      </c>
      <c r="F34" s="37">
        <v>0.75</v>
      </c>
      <c r="G34" s="37">
        <v>0</v>
      </c>
      <c r="H34" s="37">
        <v>0</v>
      </c>
      <c r="I34" s="37">
        <v>2</v>
      </c>
      <c r="J34" s="37">
        <v>0</v>
      </c>
      <c r="K34" s="37">
        <v>0</v>
      </c>
      <c r="L34" s="37">
        <v>6</v>
      </c>
      <c r="M34" s="37">
        <v>3.4529999999999998</v>
      </c>
      <c r="N34" s="37">
        <v>99000</v>
      </c>
      <c r="O34" s="37">
        <v>0.311</v>
      </c>
      <c r="P34" s="37">
        <v>99000</v>
      </c>
      <c r="Q34" s="37">
        <v>0.13799999999999998</v>
      </c>
      <c r="R34" s="37">
        <v>0.13799999999999998</v>
      </c>
      <c r="S34" s="37">
        <v>0.13799999999999998</v>
      </c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</row>
    <row r="35" spans="1:37" x14ac:dyDescent="0.15">
      <c r="A35" s="59"/>
      <c r="B35" s="37" t="s">
        <v>83</v>
      </c>
      <c r="C35" s="37">
        <v>0</v>
      </c>
      <c r="D35" s="37">
        <v>0</v>
      </c>
      <c r="E35" s="37">
        <v>9.5000000000000001E-2</v>
      </c>
      <c r="F35" s="37">
        <v>0.2</v>
      </c>
      <c r="G35" s="37">
        <v>6.2E-2</v>
      </c>
      <c r="H35" s="37">
        <v>0</v>
      </c>
      <c r="I35" s="37">
        <v>0</v>
      </c>
      <c r="J35" s="37">
        <v>0</v>
      </c>
      <c r="K35" s="37">
        <v>5.8000000000000003E-2</v>
      </c>
      <c r="L35" s="37">
        <v>0</v>
      </c>
      <c r="M35" s="37">
        <v>0</v>
      </c>
      <c r="N35" s="37">
        <v>99000</v>
      </c>
      <c r="O35" s="37">
        <v>0</v>
      </c>
      <c r="P35" s="37">
        <v>99000</v>
      </c>
      <c r="Q35" s="37">
        <v>1.2333333333333335E-2</v>
      </c>
      <c r="R35" s="37">
        <v>1.2333333333333335E-2</v>
      </c>
      <c r="S35" s="37">
        <v>1.2333333333333335E-2</v>
      </c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</row>
    <row r="36" spans="1:37" x14ac:dyDescent="0.15">
      <c r="A36" s="59"/>
      <c r="B36" s="37" t="s">
        <v>82</v>
      </c>
      <c r="C36" s="37">
        <v>0</v>
      </c>
      <c r="D36" s="37">
        <v>0</v>
      </c>
      <c r="E36" s="37">
        <v>0</v>
      </c>
      <c r="F36" s="37">
        <v>0.66600000000000004</v>
      </c>
      <c r="G36" s="37">
        <v>0</v>
      </c>
      <c r="H36" s="37">
        <v>0</v>
      </c>
      <c r="I36" s="37">
        <v>0</v>
      </c>
      <c r="J36" s="37">
        <v>0</v>
      </c>
      <c r="K36" s="37">
        <v>0.66600000000000004</v>
      </c>
      <c r="L36" s="37">
        <v>5.6660000000000004</v>
      </c>
      <c r="M36" s="37">
        <v>0</v>
      </c>
      <c r="N36" s="37">
        <v>99000</v>
      </c>
      <c r="O36" s="37">
        <v>0</v>
      </c>
      <c r="P36" s="37">
        <v>99000</v>
      </c>
      <c r="Q36" s="37">
        <v>0</v>
      </c>
      <c r="R36" s="37">
        <v>0</v>
      </c>
      <c r="S36" s="37">
        <v>0</v>
      </c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</row>
    <row r="37" spans="1:37" x14ac:dyDescent="0.15">
      <c r="A37" s="59"/>
      <c r="B37" s="37" t="s">
        <v>272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99000</v>
      </c>
      <c r="O37" s="37">
        <v>0</v>
      </c>
      <c r="P37" s="37">
        <v>99000</v>
      </c>
      <c r="Q37" s="37">
        <v>0</v>
      </c>
      <c r="R37" s="37">
        <v>0</v>
      </c>
      <c r="S37" s="37">
        <v>0</v>
      </c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</row>
    <row r="38" spans="1:37" x14ac:dyDescent="0.15">
      <c r="A38" s="59"/>
      <c r="B38" s="37" t="s">
        <v>273</v>
      </c>
      <c r="C38" s="37">
        <v>0</v>
      </c>
      <c r="D38" s="37">
        <v>0.375</v>
      </c>
      <c r="E38" s="37">
        <v>0.7</v>
      </c>
      <c r="F38" s="37">
        <v>0</v>
      </c>
      <c r="G38" s="37">
        <v>0</v>
      </c>
      <c r="H38" s="37">
        <v>0</v>
      </c>
      <c r="I38" s="37">
        <v>2</v>
      </c>
      <c r="J38" s="37">
        <v>0</v>
      </c>
      <c r="K38" s="37">
        <v>0</v>
      </c>
      <c r="L38" s="37">
        <v>13.75</v>
      </c>
      <c r="M38" s="37">
        <v>0.375</v>
      </c>
      <c r="N38" s="37">
        <v>99000</v>
      </c>
      <c r="O38" s="37">
        <v>0.126</v>
      </c>
      <c r="P38" s="37">
        <v>99000</v>
      </c>
      <c r="Q38" s="37">
        <v>5.6000000000000001E-2</v>
      </c>
      <c r="R38" s="37">
        <v>5.6000000000000001E-2</v>
      </c>
      <c r="S38" s="37">
        <v>5.6000000000000001E-2</v>
      </c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</row>
    <row r="39" spans="1:37" x14ac:dyDescent="0.15">
      <c r="A39" s="59"/>
      <c r="B39" s="37" t="s">
        <v>274</v>
      </c>
      <c r="C39" s="37">
        <v>4.1349999999999998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4.1999999999999996E-2</v>
      </c>
      <c r="L39" s="37">
        <v>0</v>
      </c>
      <c r="M39" s="37">
        <v>0</v>
      </c>
      <c r="N39" s="37">
        <v>99000</v>
      </c>
      <c r="O39" s="37">
        <v>4.1349999999999998</v>
      </c>
      <c r="P39" s="37">
        <v>99000</v>
      </c>
      <c r="Q39" s="37">
        <v>0</v>
      </c>
      <c r="R39" s="37">
        <v>0</v>
      </c>
      <c r="S39" s="37">
        <v>0</v>
      </c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</row>
    <row r="40" spans="1:37" x14ac:dyDescent="0.15">
      <c r="A40" s="59"/>
      <c r="B40" s="37" t="s">
        <v>275</v>
      </c>
      <c r="C40" s="37">
        <v>8.5520000000000014</v>
      </c>
      <c r="D40" s="37">
        <v>0</v>
      </c>
      <c r="E40" s="37">
        <v>0</v>
      </c>
      <c r="F40" s="37">
        <v>1.4259999999999999</v>
      </c>
      <c r="G40" s="37">
        <v>0</v>
      </c>
      <c r="H40" s="37">
        <v>0</v>
      </c>
      <c r="I40" s="37">
        <v>1.782</v>
      </c>
      <c r="J40" s="37">
        <v>1.3680000000000001</v>
      </c>
      <c r="K40" s="37">
        <v>0.71299999999999997</v>
      </c>
      <c r="L40" s="37">
        <v>6.0549999999999997</v>
      </c>
      <c r="M40" s="37">
        <v>0</v>
      </c>
      <c r="N40" s="37">
        <v>99000</v>
      </c>
      <c r="O40" s="37">
        <v>0.97021841052029734</v>
      </c>
      <c r="P40" s="37">
        <v>99000</v>
      </c>
      <c r="Q40" s="37">
        <v>2.157</v>
      </c>
      <c r="R40" s="37">
        <v>2.157</v>
      </c>
      <c r="S40" s="37">
        <v>2.157</v>
      </c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</row>
    <row r="41" spans="1:37" x14ac:dyDescent="0.15">
      <c r="A41" s="59"/>
      <c r="B41" s="37" t="s">
        <v>309</v>
      </c>
      <c r="C41" s="37">
        <v>4.8979999999999997</v>
      </c>
      <c r="D41" s="37">
        <v>0</v>
      </c>
      <c r="E41" s="37">
        <v>0</v>
      </c>
      <c r="F41" s="37">
        <v>0.81700000000000006</v>
      </c>
      <c r="G41" s="37">
        <v>0</v>
      </c>
      <c r="H41" s="37">
        <v>0</v>
      </c>
      <c r="I41" s="37">
        <v>1.0209999999999999</v>
      </c>
      <c r="J41" s="37">
        <v>0.78400000000000003</v>
      </c>
      <c r="K41" s="37">
        <v>0.40799999999999997</v>
      </c>
      <c r="L41" s="37">
        <v>3.468</v>
      </c>
      <c r="M41" s="37">
        <v>0</v>
      </c>
      <c r="N41" s="37">
        <v>99000</v>
      </c>
      <c r="O41" s="37">
        <v>0.55578158947970269</v>
      </c>
      <c r="P41" s="37">
        <v>99000</v>
      </c>
      <c r="Q41" s="37">
        <v>1.2353333333333334</v>
      </c>
      <c r="R41" s="37">
        <v>1.2353333333333334</v>
      </c>
      <c r="S41" s="37">
        <v>1.2353333333333334</v>
      </c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</row>
    <row r="42" spans="1:37" x14ac:dyDescent="0.15">
      <c r="A42" s="59"/>
      <c r="B42" s="1" t="s">
        <v>283</v>
      </c>
      <c r="C42">
        <v>99000</v>
      </c>
      <c r="D42">
        <v>99000</v>
      </c>
      <c r="E42">
        <v>99000</v>
      </c>
      <c r="F42">
        <v>99000</v>
      </c>
      <c r="G42">
        <v>99000</v>
      </c>
      <c r="H42">
        <v>99000</v>
      </c>
      <c r="I42">
        <v>99000</v>
      </c>
      <c r="J42" s="8">
        <v>0.79699999999999993</v>
      </c>
      <c r="K42">
        <v>99000</v>
      </c>
      <c r="L42">
        <v>0</v>
      </c>
      <c r="M42">
        <v>99000</v>
      </c>
      <c r="N42" s="37">
        <v>99000</v>
      </c>
      <c r="O42">
        <v>99000</v>
      </c>
      <c r="P42" s="142">
        <v>99000</v>
      </c>
      <c r="Q42" s="37">
        <v>99000</v>
      </c>
      <c r="R42">
        <v>99000</v>
      </c>
      <c r="S42">
        <v>99000</v>
      </c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</row>
    <row r="43" spans="1:37" x14ac:dyDescent="0.15">
      <c r="A43" s="59"/>
      <c r="B43" s="1" t="s">
        <v>284</v>
      </c>
      <c r="C43">
        <v>99000</v>
      </c>
      <c r="D43">
        <v>99000</v>
      </c>
      <c r="E43">
        <v>99000</v>
      </c>
      <c r="F43">
        <v>99000</v>
      </c>
      <c r="G43">
        <v>99000</v>
      </c>
      <c r="H43">
        <v>99000</v>
      </c>
      <c r="I43">
        <v>99000</v>
      </c>
      <c r="J43" s="8">
        <v>14.607999999999999</v>
      </c>
      <c r="K43">
        <v>99000</v>
      </c>
      <c r="L43" s="235">
        <v>0</v>
      </c>
      <c r="M43">
        <v>99000</v>
      </c>
      <c r="N43" s="37">
        <v>99000</v>
      </c>
      <c r="O43">
        <v>99000</v>
      </c>
      <c r="P43">
        <v>99000</v>
      </c>
      <c r="Q43">
        <v>99000</v>
      </c>
      <c r="R43">
        <v>99000</v>
      </c>
      <c r="S43">
        <v>99000</v>
      </c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</row>
    <row r="44" spans="1:37" x14ac:dyDescent="0.15">
      <c r="A44" s="59"/>
      <c r="B44" t="s">
        <v>285</v>
      </c>
      <c r="C44">
        <v>99000</v>
      </c>
      <c r="D44">
        <v>99000</v>
      </c>
      <c r="E44">
        <v>99000</v>
      </c>
      <c r="F44">
        <v>99000</v>
      </c>
      <c r="G44">
        <v>99000</v>
      </c>
      <c r="H44">
        <v>99000</v>
      </c>
      <c r="I44">
        <v>99000</v>
      </c>
      <c r="J44" s="8">
        <v>113.008</v>
      </c>
      <c r="K44">
        <v>99000</v>
      </c>
      <c r="L44" s="235">
        <v>0</v>
      </c>
      <c r="M44">
        <v>99000</v>
      </c>
      <c r="N44" s="37">
        <v>99000</v>
      </c>
      <c r="O44">
        <v>99000</v>
      </c>
      <c r="P44">
        <v>99000</v>
      </c>
      <c r="Q44">
        <v>99000</v>
      </c>
      <c r="R44">
        <v>99000</v>
      </c>
      <c r="S44">
        <v>99000</v>
      </c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</row>
    <row r="45" spans="1:37" x14ac:dyDescent="0.15">
      <c r="A45" s="59"/>
      <c r="B45" t="s">
        <v>286</v>
      </c>
      <c r="C45">
        <v>99000</v>
      </c>
      <c r="D45">
        <v>99000</v>
      </c>
      <c r="E45">
        <v>99000</v>
      </c>
      <c r="F45">
        <v>99000</v>
      </c>
      <c r="G45">
        <v>99000</v>
      </c>
      <c r="H45">
        <v>99000</v>
      </c>
      <c r="I45">
        <v>99000</v>
      </c>
      <c r="J45" s="8">
        <v>1.359</v>
      </c>
      <c r="K45">
        <v>99000</v>
      </c>
      <c r="L45" s="235">
        <v>0</v>
      </c>
      <c r="M45">
        <v>99000</v>
      </c>
      <c r="N45" s="37">
        <v>99000</v>
      </c>
      <c r="O45">
        <v>99000</v>
      </c>
      <c r="P45">
        <v>99000</v>
      </c>
      <c r="Q45">
        <v>99000</v>
      </c>
      <c r="R45">
        <v>99000</v>
      </c>
      <c r="S45">
        <v>99000</v>
      </c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</row>
    <row r="46" spans="1:37" x14ac:dyDescent="0.15">
      <c r="A46" s="59"/>
      <c r="B46" t="s">
        <v>287</v>
      </c>
      <c r="C46">
        <v>99000</v>
      </c>
      <c r="D46">
        <v>99000</v>
      </c>
      <c r="E46">
        <v>99000</v>
      </c>
      <c r="F46">
        <v>99000</v>
      </c>
      <c r="G46">
        <v>99000</v>
      </c>
      <c r="H46">
        <v>99000</v>
      </c>
      <c r="I46">
        <v>99000</v>
      </c>
      <c r="J46" s="8">
        <v>5.0489999999999995</v>
      </c>
      <c r="K46">
        <v>99000</v>
      </c>
      <c r="L46" s="235">
        <v>0</v>
      </c>
      <c r="M46">
        <v>99000</v>
      </c>
      <c r="N46" s="37">
        <v>99000</v>
      </c>
      <c r="O46">
        <v>99000</v>
      </c>
      <c r="P46">
        <v>99000</v>
      </c>
      <c r="Q46">
        <v>99000</v>
      </c>
      <c r="R46">
        <v>99000</v>
      </c>
      <c r="S46">
        <v>99000</v>
      </c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</row>
    <row r="47" spans="1:37" x14ac:dyDescent="0.15">
      <c r="A47" s="59"/>
      <c r="B47" t="s">
        <v>288</v>
      </c>
      <c r="C47">
        <v>99000</v>
      </c>
      <c r="D47">
        <v>99000</v>
      </c>
      <c r="E47">
        <v>99000</v>
      </c>
      <c r="F47">
        <v>99000</v>
      </c>
      <c r="G47">
        <v>99000</v>
      </c>
      <c r="H47">
        <v>99000</v>
      </c>
      <c r="I47">
        <v>99000</v>
      </c>
      <c r="J47" s="8">
        <v>8.0860000000000003</v>
      </c>
      <c r="K47">
        <v>99000</v>
      </c>
      <c r="L47" s="235">
        <v>0</v>
      </c>
      <c r="M47">
        <v>99000</v>
      </c>
      <c r="N47" s="37">
        <v>99000</v>
      </c>
      <c r="O47">
        <v>99000</v>
      </c>
      <c r="P47">
        <v>99000</v>
      </c>
      <c r="Q47">
        <v>99000</v>
      </c>
      <c r="R47">
        <v>99000</v>
      </c>
      <c r="S47">
        <v>99000</v>
      </c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</row>
    <row r="48" spans="1:37" x14ac:dyDescent="0.15">
      <c r="A48" s="59"/>
      <c r="B48" t="s">
        <v>289</v>
      </c>
      <c r="C48">
        <v>99000</v>
      </c>
      <c r="D48">
        <v>99000</v>
      </c>
      <c r="E48">
        <v>99000</v>
      </c>
      <c r="F48">
        <v>99000</v>
      </c>
      <c r="G48">
        <v>99000</v>
      </c>
      <c r="H48">
        <v>99000</v>
      </c>
      <c r="I48">
        <v>99000</v>
      </c>
      <c r="J48" s="8">
        <v>13.610000000000001</v>
      </c>
      <c r="K48">
        <v>99000</v>
      </c>
      <c r="L48" s="235">
        <v>0</v>
      </c>
      <c r="M48">
        <v>99000</v>
      </c>
      <c r="N48" s="37">
        <v>99000</v>
      </c>
      <c r="O48">
        <v>99000</v>
      </c>
      <c r="P48">
        <v>99000</v>
      </c>
      <c r="Q48">
        <v>99000</v>
      </c>
      <c r="R48">
        <v>99000</v>
      </c>
      <c r="S48">
        <v>99000</v>
      </c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</row>
    <row r="49" spans="1:37" x14ac:dyDescent="0.15">
      <c r="A49" s="59"/>
      <c r="B49" t="s">
        <v>306</v>
      </c>
      <c r="C49">
        <v>99000</v>
      </c>
      <c r="D49">
        <v>99000</v>
      </c>
      <c r="E49">
        <v>99000</v>
      </c>
      <c r="F49">
        <v>99000</v>
      </c>
      <c r="G49">
        <v>99000</v>
      </c>
      <c r="H49">
        <v>99000</v>
      </c>
      <c r="I49">
        <v>99000</v>
      </c>
      <c r="J49" s="8">
        <v>5.5779999999999994</v>
      </c>
      <c r="K49">
        <v>99000</v>
      </c>
      <c r="L49" s="235">
        <v>0</v>
      </c>
      <c r="M49">
        <v>99000</v>
      </c>
      <c r="N49" s="37">
        <v>99000</v>
      </c>
      <c r="O49">
        <v>99000</v>
      </c>
      <c r="P49">
        <v>99000</v>
      </c>
      <c r="Q49">
        <v>99000</v>
      </c>
      <c r="R49">
        <v>99000</v>
      </c>
      <c r="S49">
        <v>99000</v>
      </c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</row>
    <row r="50" spans="1:37" x14ac:dyDescent="0.15">
      <c r="A50" s="59"/>
      <c r="B50" t="s">
        <v>290</v>
      </c>
      <c r="C50">
        <v>99000</v>
      </c>
      <c r="D50">
        <v>99000</v>
      </c>
      <c r="E50">
        <v>99000</v>
      </c>
      <c r="F50">
        <v>99000</v>
      </c>
      <c r="G50">
        <v>99000</v>
      </c>
      <c r="H50">
        <v>99000</v>
      </c>
      <c r="I50">
        <v>99000</v>
      </c>
      <c r="J50" s="8">
        <v>0.82399999999999995</v>
      </c>
      <c r="K50">
        <v>99000</v>
      </c>
      <c r="L50" s="235">
        <v>0</v>
      </c>
      <c r="M50">
        <v>99000</v>
      </c>
      <c r="N50" s="37">
        <v>99000</v>
      </c>
      <c r="O50">
        <v>99000</v>
      </c>
      <c r="P50">
        <v>99000</v>
      </c>
      <c r="Q50">
        <v>99000</v>
      </c>
      <c r="R50">
        <v>99000</v>
      </c>
      <c r="S50">
        <v>99000</v>
      </c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</row>
    <row r="51" spans="1:37" x14ac:dyDescent="0.15">
      <c r="A51" s="59"/>
      <c r="B51" t="s">
        <v>291</v>
      </c>
      <c r="C51">
        <v>99000</v>
      </c>
      <c r="D51">
        <v>99000</v>
      </c>
      <c r="E51">
        <v>99000</v>
      </c>
      <c r="F51">
        <v>99000</v>
      </c>
      <c r="G51">
        <v>99000</v>
      </c>
      <c r="H51">
        <v>99000</v>
      </c>
      <c r="I51">
        <v>99000</v>
      </c>
      <c r="J51" s="8">
        <v>4.04</v>
      </c>
      <c r="K51">
        <v>99000</v>
      </c>
      <c r="L51" s="235">
        <v>0</v>
      </c>
      <c r="M51">
        <v>99000</v>
      </c>
      <c r="N51" s="37">
        <v>99000</v>
      </c>
      <c r="O51">
        <v>99000</v>
      </c>
      <c r="P51">
        <v>99000</v>
      </c>
      <c r="Q51">
        <v>99000</v>
      </c>
      <c r="R51">
        <v>99000</v>
      </c>
      <c r="S51">
        <v>99000</v>
      </c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</row>
    <row r="52" spans="1:37" x14ac:dyDescent="0.15">
      <c r="A52" s="59"/>
      <c r="B52" t="s">
        <v>293</v>
      </c>
      <c r="C52">
        <v>99000</v>
      </c>
      <c r="D52">
        <v>99000</v>
      </c>
      <c r="E52">
        <v>99000</v>
      </c>
      <c r="F52">
        <v>99000</v>
      </c>
      <c r="G52">
        <v>99000</v>
      </c>
      <c r="H52">
        <v>99000</v>
      </c>
      <c r="I52">
        <v>99000</v>
      </c>
      <c r="J52" s="8">
        <v>0.124</v>
      </c>
      <c r="K52">
        <v>99000</v>
      </c>
      <c r="L52" s="235">
        <v>0</v>
      </c>
      <c r="M52">
        <v>99000</v>
      </c>
      <c r="N52" s="37">
        <v>99000</v>
      </c>
      <c r="O52">
        <v>99000</v>
      </c>
      <c r="P52">
        <v>99000</v>
      </c>
      <c r="Q52">
        <v>99000</v>
      </c>
      <c r="R52">
        <v>99000</v>
      </c>
      <c r="S52">
        <v>99000</v>
      </c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</row>
    <row r="53" spans="1:37" x14ac:dyDescent="0.15">
      <c r="A53" s="59"/>
      <c r="B53" t="s">
        <v>292</v>
      </c>
      <c r="C53">
        <v>99000</v>
      </c>
      <c r="D53">
        <v>99000</v>
      </c>
      <c r="E53">
        <v>99000</v>
      </c>
      <c r="F53">
        <v>99000</v>
      </c>
      <c r="G53">
        <v>99000</v>
      </c>
      <c r="H53">
        <v>99000</v>
      </c>
      <c r="I53">
        <v>99000</v>
      </c>
      <c r="J53" s="8">
        <v>0.126</v>
      </c>
      <c r="K53">
        <v>99000</v>
      </c>
      <c r="L53" s="235">
        <v>0</v>
      </c>
      <c r="M53">
        <v>99000</v>
      </c>
      <c r="N53" s="37">
        <v>99000</v>
      </c>
      <c r="O53">
        <v>99000</v>
      </c>
      <c r="P53">
        <v>99000</v>
      </c>
      <c r="Q53">
        <v>99000</v>
      </c>
      <c r="R53">
        <v>99000</v>
      </c>
      <c r="S53">
        <v>99000</v>
      </c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</row>
    <row r="54" spans="1:37" x14ac:dyDescent="0.15">
      <c r="A54" s="59"/>
      <c r="B54" t="s">
        <v>294</v>
      </c>
      <c r="C54">
        <v>99000</v>
      </c>
      <c r="D54">
        <v>99000</v>
      </c>
      <c r="E54">
        <v>99000</v>
      </c>
      <c r="F54">
        <v>99000</v>
      </c>
      <c r="G54">
        <v>99000</v>
      </c>
      <c r="H54">
        <v>99000</v>
      </c>
      <c r="I54">
        <v>99000</v>
      </c>
      <c r="J54" s="8">
        <v>0.26200000000000001</v>
      </c>
      <c r="K54">
        <v>99000</v>
      </c>
      <c r="L54" s="235">
        <v>0</v>
      </c>
      <c r="M54">
        <v>99000</v>
      </c>
      <c r="N54" s="37">
        <v>99000</v>
      </c>
      <c r="O54">
        <v>99000</v>
      </c>
      <c r="P54">
        <v>99000</v>
      </c>
      <c r="Q54">
        <v>99000</v>
      </c>
      <c r="R54">
        <v>99000</v>
      </c>
      <c r="S54">
        <v>99000</v>
      </c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</row>
    <row r="55" spans="1:37" x14ac:dyDescent="0.15">
      <c r="A55" s="59"/>
      <c r="B55" t="s">
        <v>295</v>
      </c>
      <c r="C55">
        <v>99000</v>
      </c>
      <c r="D55">
        <v>99000</v>
      </c>
      <c r="E55">
        <v>99000</v>
      </c>
      <c r="F55">
        <v>99000</v>
      </c>
      <c r="G55">
        <v>99000</v>
      </c>
      <c r="H55">
        <v>99000</v>
      </c>
      <c r="I55">
        <v>99000</v>
      </c>
      <c r="J55" s="8">
        <v>3.3000000000000002E-2</v>
      </c>
      <c r="K55">
        <v>99000</v>
      </c>
      <c r="L55" s="235">
        <v>0</v>
      </c>
      <c r="M55">
        <v>99000</v>
      </c>
      <c r="N55" s="37">
        <v>99000</v>
      </c>
      <c r="O55">
        <v>99000</v>
      </c>
      <c r="P55">
        <v>99000</v>
      </c>
      <c r="Q55">
        <v>99000</v>
      </c>
      <c r="R55">
        <v>99000</v>
      </c>
      <c r="S55">
        <v>99000</v>
      </c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</row>
    <row r="56" spans="1:37" x14ac:dyDescent="0.15">
      <c r="A56" s="59"/>
      <c r="B56" t="s">
        <v>296</v>
      </c>
      <c r="C56">
        <v>99000</v>
      </c>
      <c r="D56">
        <v>99000</v>
      </c>
      <c r="E56">
        <v>99000</v>
      </c>
      <c r="F56">
        <v>99000</v>
      </c>
      <c r="G56">
        <v>99000</v>
      </c>
      <c r="H56">
        <v>99000</v>
      </c>
      <c r="I56">
        <v>99000</v>
      </c>
      <c r="J56">
        <v>0</v>
      </c>
      <c r="K56">
        <v>99000</v>
      </c>
      <c r="L56" s="235">
        <v>0</v>
      </c>
      <c r="M56">
        <v>99000</v>
      </c>
      <c r="N56" s="37">
        <v>99000</v>
      </c>
      <c r="O56">
        <v>99000</v>
      </c>
      <c r="P56">
        <v>99000</v>
      </c>
      <c r="Q56">
        <v>99000</v>
      </c>
      <c r="R56">
        <v>99000</v>
      </c>
      <c r="S56">
        <v>99000</v>
      </c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</row>
    <row r="57" spans="1:37" x14ac:dyDescent="0.15">
      <c r="A57" s="59"/>
      <c r="B57" t="s">
        <v>297</v>
      </c>
      <c r="C57">
        <v>99000</v>
      </c>
      <c r="D57">
        <v>99000</v>
      </c>
      <c r="E57">
        <v>99000</v>
      </c>
      <c r="F57">
        <v>99000</v>
      </c>
      <c r="G57">
        <v>99000</v>
      </c>
      <c r="H57">
        <v>99000</v>
      </c>
      <c r="I57">
        <v>99000</v>
      </c>
      <c r="J57">
        <v>14.916</v>
      </c>
      <c r="K57">
        <v>99000</v>
      </c>
      <c r="L57" s="235">
        <v>0</v>
      </c>
      <c r="M57">
        <v>99000</v>
      </c>
      <c r="N57" s="37">
        <v>99000</v>
      </c>
      <c r="O57">
        <v>99000</v>
      </c>
      <c r="P57">
        <v>99000</v>
      </c>
      <c r="Q57">
        <v>99000</v>
      </c>
      <c r="R57">
        <v>99000</v>
      </c>
      <c r="S57">
        <v>99000</v>
      </c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</row>
    <row r="58" spans="1:37" x14ac:dyDescent="0.15">
      <c r="A58" s="59"/>
      <c r="B58" t="s">
        <v>298</v>
      </c>
      <c r="C58">
        <v>99000</v>
      </c>
      <c r="D58">
        <v>99000</v>
      </c>
      <c r="E58">
        <v>99000</v>
      </c>
      <c r="F58">
        <v>99000</v>
      </c>
      <c r="G58">
        <v>99000</v>
      </c>
      <c r="H58">
        <v>99000</v>
      </c>
      <c r="I58">
        <v>99000</v>
      </c>
      <c r="J58">
        <v>1.371</v>
      </c>
      <c r="K58">
        <v>99000</v>
      </c>
      <c r="L58" s="235">
        <v>0</v>
      </c>
      <c r="M58">
        <v>99000</v>
      </c>
      <c r="N58" s="37">
        <v>99000</v>
      </c>
      <c r="O58">
        <v>99000</v>
      </c>
      <c r="P58">
        <v>99000</v>
      </c>
      <c r="Q58">
        <v>99000</v>
      </c>
      <c r="R58">
        <v>99000</v>
      </c>
      <c r="S58">
        <v>99000</v>
      </c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</row>
    <row r="59" spans="1:37" x14ac:dyDescent="0.15">
      <c r="A59" s="59"/>
      <c r="B59" t="s">
        <v>299</v>
      </c>
      <c r="C59">
        <v>99000</v>
      </c>
      <c r="D59">
        <v>99000</v>
      </c>
      <c r="E59">
        <v>99000</v>
      </c>
      <c r="F59">
        <v>99000</v>
      </c>
      <c r="G59">
        <v>99000</v>
      </c>
      <c r="H59">
        <v>99000</v>
      </c>
      <c r="I59">
        <v>99000</v>
      </c>
      <c r="J59">
        <v>0.85400000000000009</v>
      </c>
      <c r="K59">
        <v>99000</v>
      </c>
      <c r="L59" s="235">
        <v>0</v>
      </c>
      <c r="M59">
        <v>99000</v>
      </c>
      <c r="N59" s="37">
        <v>99000</v>
      </c>
      <c r="O59">
        <v>99000</v>
      </c>
      <c r="P59">
        <v>99000</v>
      </c>
      <c r="Q59">
        <v>99000</v>
      </c>
      <c r="R59">
        <v>99000</v>
      </c>
      <c r="S59">
        <v>99000</v>
      </c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</row>
    <row r="60" spans="1:37" ht="12" thickBot="1" x14ac:dyDescent="0.2">
      <c r="A60" s="63"/>
      <c r="B60" s="16" t="s">
        <v>311</v>
      </c>
      <c r="C60" s="16">
        <v>99000</v>
      </c>
      <c r="D60" s="16">
        <v>99000</v>
      </c>
      <c r="E60" s="16">
        <v>99000</v>
      </c>
      <c r="F60" s="16">
        <v>99000</v>
      </c>
      <c r="G60" s="16">
        <v>99000</v>
      </c>
      <c r="H60" s="16">
        <v>99000</v>
      </c>
      <c r="I60" s="16">
        <v>99000</v>
      </c>
      <c r="J60" s="16">
        <v>7.3709999999999996</v>
      </c>
      <c r="K60" s="16">
        <v>99000</v>
      </c>
      <c r="L60" s="16">
        <v>6</v>
      </c>
      <c r="M60" s="16">
        <v>99000</v>
      </c>
      <c r="N60" s="237">
        <v>99000</v>
      </c>
      <c r="O60" s="16">
        <v>99000</v>
      </c>
      <c r="P60" s="16">
        <v>99000</v>
      </c>
      <c r="Q60" s="16">
        <v>99000</v>
      </c>
      <c r="R60" s="16">
        <v>99000</v>
      </c>
      <c r="S60" s="16">
        <v>99000</v>
      </c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</row>
    <row r="61" spans="1:37" x14ac:dyDescent="0.15">
      <c r="A61" s="58" t="s">
        <v>256</v>
      </c>
      <c r="B61" s="37" t="s">
        <v>93</v>
      </c>
      <c r="C61">
        <v>2.5910000000000002</v>
      </c>
      <c r="D61">
        <v>0</v>
      </c>
      <c r="E61">
        <v>0</v>
      </c>
      <c r="F61">
        <v>1.2090000000000001</v>
      </c>
      <c r="G61">
        <v>0</v>
      </c>
      <c r="H61" s="37">
        <v>0</v>
      </c>
      <c r="I61">
        <v>0</v>
      </c>
      <c r="J61">
        <v>0.90700000000000003</v>
      </c>
      <c r="K61">
        <v>0.432</v>
      </c>
      <c r="L61">
        <v>0</v>
      </c>
      <c r="M61">
        <v>0</v>
      </c>
      <c r="N61" s="37">
        <v>99000</v>
      </c>
      <c r="O61">
        <v>0</v>
      </c>
      <c r="P61" s="37">
        <v>99000</v>
      </c>
      <c r="Q61">
        <v>0.80599999999999994</v>
      </c>
      <c r="R61">
        <v>0.80599999999999994</v>
      </c>
      <c r="S61">
        <v>0.80599999999999994</v>
      </c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x14ac:dyDescent="0.15">
      <c r="A62" s="58"/>
      <c r="B62" s="37" t="s">
        <v>92</v>
      </c>
      <c r="C62">
        <v>0</v>
      </c>
      <c r="D62">
        <v>1</v>
      </c>
      <c r="E62">
        <v>0</v>
      </c>
      <c r="F62">
        <v>0.75</v>
      </c>
      <c r="G62">
        <v>0</v>
      </c>
      <c r="H62" s="37">
        <v>0</v>
      </c>
      <c r="I62">
        <v>0</v>
      </c>
      <c r="J62">
        <v>0</v>
      </c>
      <c r="K62">
        <v>0.75</v>
      </c>
      <c r="L62">
        <v>5</v>
      </c>
      <c r="M62">
        <v>0</v>
      </c>
      <c r="N62" s="37">
        <v>99000</v>
      </c>
      <c r="O62">
        <v>0</v>
      </c>
      <c r="P62" s="37">
        <v>99000</v>
      </c>
      <c r="Q62">
        <v>0</v>
      </c>
      <c r="R62">
        <v>0</v>
      </c>
      <c r="S62">
        <v>0</v>
      </c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</row>
    <row r="63" spans="1:37" x14ac:dyDescent="0.15">
      <c r="A63" s="58"/>
      <c r="B63" s="37" t="s">
        <v>91</v>
      </c>
      <c r="C63">
        <v>0</v>
      </c>
      <c r="D63">
        <v>0.75</v>
      </c>
      <c r="E63">
        <v>0</v>
      </c>
      <c r="F63">
        <v>0.375</v>
      </c>
      <c r="G63">
        <v>0</v>
      </c>
      <c r="H63" s="37">
        <v>0</v>
      </c>
      <c r="I63">
        <v>0</v>
      </c>
      <c r="J63">
        <v>0</v>
      </c>
      <c r="K63">
        <v>0.375</v>
      </c>
      <c r="L63">
        <v>0</v>
      </c>
      <c r="M63">
        <v>0</v>
      </c>
      <c r="N63" s="37">
        <v>99000</v>
      </c>
      <c r="O63">
        <v>0</v>
      </c>
      <c r="P63" s="37">
        <v>99000</v>
      </c>
      <c r="Q63">
        <v>0</v>
      </c>
      <c r="R63">
        <v>0</v>
      </c>
      <c r="S63">
        <v>0</v>
      </c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</row>
    <row r="64" spans="1:37" x14ac:dyDescent="0.15">
      <c r="A64" s="58"/>
      <c r="B64" s="37" t="s">
        <v>90</v>
      </c>
      <c r="C64">
        <v>0</v>
      </c>
      <c r="D64">
        <v>5.25</v>
      </c>
      <c r="E64">
        <v>0</v>
      </c>
      <c r="F64">
        <v>0.25</v>
      </c>
      <c r="G64">
        <v>0</v>
      </c>
      <c r="H64" s="37">
        <v>0</v>
      </c>
      <c r="I64">
        <v>0</v>
      </c>
      <c r="J64">
        <v>0</v>
      </c>
      <c r="K64">
        <v>0.25</v>
      </c>
      <c r="L64">
        <v>0</v>
      </c>
      <c r="M64">
        <v>0</v>
      </c>
      <c r="N64" s="37">
        <v>99000</v>
      </c>
      <c r="O64">
        <v>0</v>
      </c>
      <c r="P64" s="37">
        <v>99000</v>
      </c>
      <c r="Q64">
        <v>0</v>
      </c>
      <c r="R64">
        <v>0</v>
      </c>
      <c r="S64">
        <v>0</v>
      </c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</row>
    <row r="65" spans="1:37" x14ac:dyDescent="0.15">
      <c r="A65" s="58"/>
      <c r="B65" s="37" t="s">
        <v>89</v>
      </c>
      <c r="C65">
        <v>1.681</v>
      </c>
      <c r="D65">
        <v>0</v>
      </c>
      <c r="E65">
        <v>0</v>
      </c>
      <c r="F65">
        <v>3.8370000000000002</v>
      </c>
      <c r="G65">
        <v>0</v>
      </c>
      <c r="H65" s="37">
        <v>0</v>
      </c>
      <c r="I65">
        <v>0</v>
      </c>
      <c r="J65">
        <v>0.58799999999999997</v>
      </c>
      <c r="K65">
        <v>1.6139999999999999</v>
      </c>
      <c r="L65">
        <v>0</v>
      </c>
      <c r="M65">
        <v>0</v>
      </c>
      <c r="N65" s="37">
        <v>99000</v>
      </c>
      <c r="O65">
        <v>0</v>
      </c>
      <c r="P65" s="37">
        <v>99000</v>
      </c>
      <c r="Q65">
        <v>2.5333333333333333E-2</v>
      </c>
      <c r="R65">
        <v>2.5333333333333333E-2</v>
      </c>
      <c r="S65">
        <v>2.5333333333333333E-2</v>
      </c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</row>
    <row r="66" spans="1:37" x14ac:dyDescent="0.15">
      <c r="A66" s="58"/>
      <c r="B66" s="37" t="s">
        <v>88</v>
      </c>
      <c r="C66">
        <v>0</v>
      </c>
      <c r="D66">
        <v>0.5</v>
      </c>
      <c r="E66">
        <v>0</v>
      </c>
      <c r="F66">
        <v>0.29500000000000004</v>
      </c>
      <c r="G66">
        <v>0</v>
      </c>
      <c r="H66" s="37">
        <v>0</v>
      </c>
      <c r="I66">
        <v>0</v>
      </c>
      <c r="J66">
        <v>0</v>
      </c>
      <c r="K66">
        <v>0.125</v>
      </c>
      <c r="L66">
        <v>0</v>
      </c>
      <c r="M66">
        <v>0</v>
      </c>
      <c r="N66" s="37">
        <v>99000</v>
      </c>
      <c r="O66">
        <v>0</v>
      </c>
      <c r="P66" s="37">
        <v>99000</v>
      </c>
      <c r="Q66">
        <v>0</v>
      </c>
      <c r="R66">
        <v>0</v>
      </c>
      <c r="S66">
        <v>0</v>
      </c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</row>
    <row r="67" spans="1:37" x14ac:dyDescent="0.15">
      <c r="A67" s="58"/>
      <c r="B67" s="37" t="s">
        <v>303</v>
      </c>
      <c r="C67">
        <v>3.1850000000000001</v>
      </c>
      <c r="D67">
        <v>0</v>
      </c>
      <c r="E67">
        <v>0</v>
      </c>
      <c r="F67">
        <v>0</v>
      </c>
      <c r="G67">
        <v>0</v>
      </c>
      <c r="H67" s="37">
        <v>0</v>
      </c>
      <c r="I67">
        <v>0.59599999999999997</v>
      </c>
      <c r="J67">
        <v>0.502</v>
      </c>
      <c r="K67">
        <v>9.1999999999999998E-2</v>
      </c>
      <c r="L67">
        <v>39.637999999999998</v>
      </c>
      <c r="M67">
        <v>0</v>
      </c>
      <c r="N67" s="37">
        <v>99000</v>
      </c>
      <c r="O67">
        <v>2.6830000000000003</v>
      </c>
      <c r="P67" s="37">
        <v>99000</v>
      </c>
      <c r="Q67">
        <v>5.333333333333333E-2</v>
      </c>
      <c r="R67">
        <v>5.333333333333333E-2</v>
      </c>
      <c r="S67">
        <v>5.333333333333333E-2</v>
      </c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</row>
    <row r="68" spans="1:37" x14ac:dyDescent="0.15">
      <c r="A68" s="58"/>
      <c r="B68" s="37" t="s">
        <v>86</v>
      </c>
      <c r="C68">
        <v>46.663000000000004</v>
      </c>
      <c r="D68">
        <v>0</v>
      </c>
      <c r="E68">
        <v>0</v>
      </c>
      <c r="F68">
        <v>9.3349999999999991</v>
      </c>
      <c r="G68">
        <v>0</v>
      </c>
      <c r="H68" s="37">
        <v>0</v>
      </c>
      <c r="I68">
        <v>10.283000000000001</v>
      </c>
      <c r="J68">
        <v>8.7080000000000002</v>
      </c>
      <c r="K68">
        <v>4.5199999999999996</v>
      </c>
      <c r="L68">
        <v>34.933</v>
      </c>
      <c r="M68">
        <v>0</v>
      </c>
      <c r="N68" s="37">
        <v>99000</v>
      </c>
      <c r="O68">
        <v>12.829000000000001</v>
      </c>
      <c r="P68" s="37">
        <v>99000</v>
      </c>
      <c r="Q68">
        <v>13.506666666666668</v>
      </c>
      <c r="R68">
        <v>13.506666666666668</v>
      </c>
      <c r="S68">
        <v>13.506666666666668</v>
      </c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</row>
    <row r="69" spans="1:37" x14ac:dyDescent="0.15">
      <c r="A69" s="58"/>
      <c r="B69" s="37" t="s">
        <v>85</v>
      </c>
      <c r="C69">
        <v>8.947000000000001</v>
      </c>
      <c r="D69">
        <v>0</v>
      </c>
      <c r="E69">
        <v>0</v>
      </c>
      <c r="F69">
        <v>2.895</v>
      </c>
      <c r="G69">
        <v>0.47600000000000003</v>
      </c>
      <c r="H69" s="37">
        <v>0</v>
      </c>
      <c r="I69">
        <v>0</v>
      </c>
      <c r="J69">
        <v>3.1150000000000002</v>
      </c>
      <c r="K69">
        <v>2.1470000000000002</v>
      </c>
      <c r="L69">
        <v>0</v>
      </c>
      <c r="M69">
        <v>0</v>
      </c>
      <c r="N69" s="37">
        <v>99000</v>
      </c>
      <c r="O69">
        <v>0</v>
      </c>
      <c r="P69" s="37">
        <v>99000</v>
      </c>
      <c r="Q69">
        <v>0.58833333333333337</v>
      </c>
      <c r="R69">
        <v>0.58833333333333337</v>
      </c>
      <c r="S69">
        <v>0.58833333333333337</v>
      </c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</row>
    <row r="70" spans="1:37" x14ac:dyDescent="0.15">
      <c r="A70" s="58"/>
      <c r="B70" s="37" t="s">
        <v>84</v>
      </c>
      <c r="C70">
        <v>6.8500000000000005</v>
      </c>
      <c r="D70">
        <v>0</v>
      </c>
      <c r="E70">
        <v>0</v>
      </c>
      <c r="F70">
        <v>1.849</v>
      </c>
      <c r="G70">
        <v>0</v>
      </c>
      <c r="H70" s="37">
        <v>0</v>
      </c>
      <c r="I70">
        <v>2.8620000000000001</v>
      </c>
      <c r="J70">
        <v>1.1850000000000001</v>
      </c>
      <c r="K70">
        <v>1.3159999999999998</v>
      </c>
      <c r="L70">
        <v>4.5229999999999997</v>
      </c>
      <c r="M70">
        <v>0</v>
      </c>
      <c r="N70" s="37">
        <v>99000</v>
      </c>
      <c r="O70">
        <v>1.661</v>
      </c>
      <c r="P70" s="37">
        <v>99000</v>
      </c>
      <c r="Q70">
        <v>1.6106666666666667</v>
      </c>
      <c r="R70">
        <v>1.6106666666666667</v>
      </c>
      <c r="S70">
        <v>1.6106666666666667</v>
      </c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</row>
    <row r="71" spans="1:37" x14ac:dyDescent="0.15">
      <c r="A71" s="58"/>
      <c r="B71" s="37" t="s">
        <v>131</v>
      </c>
      <c r="C71">
        <v>0</v>
      </c>
      <c r="D71">
        <v>19.617999999999999</v>
      </c>
      <c r="E71">
        <v>2.3080000000000003</v>
      </c>
      <c r="F71">
        <v>1.1540000000000001</v>
      </c>
      <c r="G71">
        <v>0</v>
      </c>
      <c r="H71" s="37">
        <v>0</v>
      </c>
      <c r="I71">
        <v>0.12000000000000001</v>
      </c>
      <c r="J71">
        <v>0</v>
      </c>
      <c r="K71">
        <v>0</v>
      </c>
      <c r="L71">
        <v>0</v>
      </c>
      <c r="M71">
        <v>19.617999999999999</v>
      </c>
      <c r="N71" s="37">
        <v>99000</v>
      </c>
      <c r="O71">
        <v>0.41599999999999998</v>
      </c>
      <c r="P71" s="37">
        <v>99000</v>
      </c>
      <c r="Q71">
        <v>0.18466666666666667</v>
      </c>
      <c r="R71">
        <v>0.18466666666666667</v>
      </c>
      <c r="S71">
        <v>0.18466666666666667</v>
      </c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</row>
    <row r="72" spans="1:37" x14ac:dyDescent="0.15">
      <c r="A72" s="58"/>
      <c r="B72" s="37" t="s">
        <v>132</v>
      </c>
      <c r="C72">
        <v>0</v>
      </c>
      <c r="D72">
        <v>4.3380000000000001</v>
      </c>
      <c r="E72">
        <v>7.18</v>
      </c>
      <c r="F72">
        <v>2.101</v>
      </c>
      <c r="G72">
        <v>0.94200000000000006</v>
      </c>
      <c r="H72" s="37">
        <v>0</v>
      </c>
      <c r="I72">
        <v>2</v>
      </c>
      <c r="J72">
        <v>0</v>
      </c>
      <c r="K72">
        <v>0</v>
      </c>
      <c r="L72">
        <v>6</v>
      </c>
      <c r="M72">
        <v>4.2750000000000004</v>
      </c>
      <c r="N72" s="37">
        <v>99000</v>
      </c>
      <c r="O72">
        <v>1.4450000000000001</v>
      </c>
      <c r="P72" s="37">
        <v>99000</v>
      </c>
      <c r="Q72">
        <v>1.238</v>
      </c>
      <c r="R72">
        <v>1.238</v>
      </c>
      <c r="S72">
        <v>1.238</v>
      </c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</row>
    <row r="73" spans="1:37" x14ac:dyDescent="0.15">
      <c r="A73" s="58"/>
      <c r="B73" s="37" t="s">
        <v>83</v>
      </c>
      <c r="C73">
        <v>11</v>
      </c>
      <c r="D73">
        <v>0</v>
      </c>
      <c r="E73">
        <v>0.17</v>
      </c>
      <c r="F73">
        <v>4.2</v>
      </c>
      <c r="G73">
        <v>4.1370000000000005</v>
      </c>
      <c r="H73" s="37">
        <v>0</v>
      </c>
      <c r="I73">
        <v>3.0000000000000001E-3</v>
      </c>
      <c r="J73">
        <v>0</v>
      </c>
      <c r="K73">
        <v>5.8999999999999997E-2</v>
      </c>
      <c r="L73">
        <v>0</v>
      </c>
      <c r="M73">
        <v>0</v>
      </c>
      <c r="N73" s="37">
        <v>99000</v>
      </c>
      <c r="O73">
        <v>2.7269999999999999</v>
      </c>
      <c r="P73" s="37">
        <v>99000</v>
      </c>
      <c r="Q73">
        <v>1.3860000000000001</v>
      </c>
      <c r="R73">
        <v>1.3860000000000001</v>
      </c>
      <c r="S73">
        <v>1.3860000000000001</v>
      </c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</row>
    <row r="74" spans="1:37" x14ac:dyDescent="0.15">
      <c r="A74" s="58"/>
      <c r="B74" s="37" t="s">
        <v>82</v>
      </c>
      <c r="C74">
        <v>0</v>
      </c>
      <c r="D74">
        <v>22.055000000000003</v>
      </c>
      <c r="E74">
        <v>0</v>
      </c>
      <c r="F74">
        <v>0.66600000000000004</v>
      </c>
      <c r="G74">
        <v>0</v>
      </c>
      <c r="H74" s="37">
        <v>0</v>
      </c>
      <c r="I74">
        <v>0</v>
      </c>
      <c r="J74">
        <v>0</v>
      </c>
      <c r="K74">
        <v>0.66600000000000004</v>
      </c>
      <c r="L74">
        <v>60.665999999999997</v>
      </c>
      <c r="M74">
        <v>22.055000000000003</v>
      </c>
      <c r="N74" s="37">
        <v>99000</v>
      </c>
      <c r="O74">
        <v>0</v>
      </c>
      <c r="P74" s="37">
        <v>99000</v>
      </c>
      <c r="Q74">
        <v>0</v>
      </c>
      <c r="R74">
        <v>0</v>
      </c>
      <c r="S74">
        <v>0</v>
      </c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</row>
    <row r="75" spans="1:37" x14ac:dyDescent="0.15">
      <c r="A75" s="58"/>
      <c r="B75" s="37" t="s">
        <v>272</v>
      </c>
      <c r="C75">
        <v>5</v>
      </c>
      <c r="D75">
        <v>0</v>
      </c>
      <c r="E75">
        <v>5</v>
      </c>
      <c r="F75">
        <v>1.5</v>
      </c>
      <c r="G75">
        <v>0</v>
      </c>
      <c r="H75" s="37">
        <v>0</v>
      </c>
      <c r="I75">
        <v>0</v>
      </c>
      <c r="J75">
        <v>0</v>
      </c>
      <c r="K75">
        <v>3</v>
      </c>
      <c r="L75">
        <v>0</v>
      </c>
      <c r="M75">
        <v>0</v>
      </c>
      <c r="N75" s="37">
        <v>99000</v>
      </c>
      <c r="O75">
        <v>2</v>
      </c>
      <c r="P75" s="37">
        <v>99000</v>
      </c>
      <c r="Q75">
        <v>0</v>
      </c>
      <c r="R75">
        <v>0</v>
      </c>
      <c r="S75">
        <v>0</v>
      </c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</row>
    <row r="76" spans="1:37" x14ac:dyDescent="0.15">
      <c r="A76" s="58"/>
      <c r="B76" s="37" t="s">
        <v>273</v>
      </c>
      <c r="C76">
        <v>0</v>
      </c>
      <c r="D76">
        <v>5.694</v>
      </c>
      <c r="E76">
        <v>14.161</v>
      </c>
      <c r="F76">
        <v>0</v>
      </c>
      <c r="G76">
        <v>0</v>
      </c>
      <c r="H76" s="37">
        <v>0</v>
      </c>
      <c r="I76">
        <v>2</v>
      </c>
      <c r="J76">
        <v>0</v>
      </c>
      <c r="K76">
        <v>0</v>
      </c>
      <c r="L76">
        <v>24.87</v>
      </c>
      <c r="M76">
        <v>5.694</v>
      </c>
      <c r="N76" s="37">
        <v>99000</v>
      </c>
      <c r="O76">
        <v>4.1399999999999997</v>
      </c>
      <c r="P76" s="37">
        <v>99000</v>
      </c>
      <c r="Q76">
        <v>2.7226666666666666</v>
      </c>
      <c r="R76">
        <v>2.7226666666666666</v>
      </c>
      <c r="S76">
        <v>2.7226666666666666</v>
      </c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</row>
    <row r="77" spans="1:37" x14ac:dyDescent="0.15">
      <c r="A77" s="58"/>
      <c r="B77" s="37" t="s">
        <v>274</v>
      </c>
      <c r="C77">
        <v>9.8949999999999996</v>
      </c>
      <c r="D77">
        <v>0</v>
      </c>
      <c r="E77">
        <v>0</v>
      </c>
      <c r="F77">
        <v>0.12000000000000001</v>
      </c>
      <c r="G77">
        <v>0</v>
      </c>
      <c r="H77" s="37">
        <v>0</v>
      </c>
      <c r="I77">
        <v>0</v>
      </c>
      <c r="J77">
        <v>0</v>
      </c>
      <c r="K77">
        <v>0.16200000000000001</v>
      </c>
      <c r="L77">
        <v>0</v>
      </c>
      <c r="M77">
        <v>0</v>
      </c>
      <c r="N77" s="37">
        <v>99000</v>
      </c>
      <c r="O77">
        <v>9.8949999999999996</v>
      </c>
      <c r="P77" s="37">
        <v>99000</v>
      </c>
      <c r="Q77">
        <v>0</v>
      </c>
      <c r="R77">
        <v>0</v>
      </c>
      <c r="S77">
        <v>0</v>
      </c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</row>
    <row r="78" spans="1:37" x14ac:dyDescent="0.15">
      <c r="A78" s="58"/>
      <c r="B78" s="37" t="s">
        <v>275</v>
      </c>
      <c r="C78">
        <v>11.464</v>
      </c>
      <c r="D78">
        <v>0</v>
      </c>
      <c r="E78">
        <v>0</v>
      </c>
      <c r="F78">
        <v>1.9120000000000001</v>
      </c>
      <c r="G78">
        <v>0</v>
      </c>
      <c r="H78" s="37">
        <v>0</v>
      </c>
      <c r="I78">
        <v>2.387</v>
      </c>
      <c r="J78">
        <v>1.8339999999999999</v>
      </c>
      <c r="K78">
        <v>0.95499999999999996</v>
      </c>
      <c r="L78">
        <v>8.1169999999999991</v>
      </c>
      <c r="M78">
        <v>0</v>
      </c>
      <c r="N78" s="37">
        <v>99000</v>
      </c>
      <c r="O78">
        <v>1.7282184105202973</v>
      </c>
      <c r="P78" s="37">
        <v>99000</v>
      </c>
      <c r="Q78">
        <v>2.73</v>
      </c>
      <c r="R78">
        <v>2.73</v>
      </c>
      <c r="S78">
        <v>2.73</v>
      </c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</row>
    <row r="79" spans="1:37" x14ac:dyDescent="0.15">
      <c r="A79" s="58"/>
      <c r="B79" s="37" t="s">
        <v>309</v>
      </c>
      <c r="C79">
        <v>6.3160000000000007</v>
      </c>
      <c r="D79">
        <v>0</v>
      </c>
      <c r="E79">
        <v>0</v>
      </c>
      <c r="F79">
        <v>1.0529999999999999</v>
      </c>
      <c r="G79">
        <v>0</v>
      </c>
      <c r="H79" s="37">
        <v>0</v>
      </c>
      <c r="I79">
        <v>1.3159999999999998</v>
      </c>
      <c r="J79">
        <v>1.0109999999999999</v>
      </c>
      <c r="K79">
        <v>0.52600000000000002</v>
      </c>
      <c r="L79">
        <v>4.4720000000000004</v>
      </c>
      <c r="M79">
        <v>0</v>
      </c>
      <c r="N79" s="37">
        <v>99000</v>
      </c>
      <c r="O79">
        <v>0.92378158947970268</v>
      </c>
      <c r="P79" s="37">
        <v>99000</v>
      </c>
      <c r="Q79">
        <v>1.5926666666666665</v>
      </c>
      <c r="R79">
        <v>1.5926666666666665</v>
      </c>
      <c r="S79">
        <v>1.5926666666666665</v>
      </c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</row>
    <row r="80" spans="1:37" x14ac:dyDescent="0.15">
      <c r="A80" s="58"/>
      <c r="B80" s="1" t="s">
        <v>283</v>
      </c>
      <c r="C80">
        <v>99000</v>
      </c>
      <c r="D80">
        <v>99000</v>
      </c>
      <c r="E80">
        <v>99000</v>
      </c>
      <c r="F80">
        <v>99000</v>
      </c>
      <c r="G80">
        <v>99000</v>
      </c>
      <c r="H80">
        <v>99000</v>
      </c>
      <c r="I80">
        <v>99000</v>
      </c>
      <c r="J80" s="8">
        <v>0.79699999999999993</v>
      </c>
      <c r="K80">
        <v>99000</v>
      </c>
      <c r="L80" s="235">
        <v>0</v>
      </c>
      <c r="M80">
        <v>99000</v>
      </c>
      <c r="N80" s="37">
        <v>99000</v>
      </c>
      <c r="O80">
        <v>99000</v>
      </c>
      <c r="P80">
        <v>99000</v>
      </c>
      <c r="Q80">
        <v>99000</v>
      </c>
      <c r="R80">
        <v>99000</v>
      </c>
      <c r="S80">
        <v>99000</v>
      </c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</row>
    <row r="81" spans="1:37" x14ac:dyDescent="0.15">
      <c r="A81" s="58"/>
      <c r="B81" s="1" t="s">
        <v>284</v>
      </c>
      <c r="C81">
        <v>99000</v>
      </c>
      <c r="D81">
        <v>99000</v>
      </c>
      <c r="E81">
        <v>99000</v>
      </c>
      <c r="F81">
        <v>99000</v>
      </c>
      <c r="G81">
        <v>99000</v>
      </c>
      <c r="H81">
        <v>99000</v>
      </c>
      <c r="I81">
        <v>99000</v>
      </c>
      <c r="J81" s="8">
        <v>14.607999999999999</v>
      </c>
      <c r="K81">
        <v>99000</v>
      </c>
      <c r="L81" s="235">
        <v>0</v>
      </c>
      <c r="M81">
        <v>99000</v>
      </c>
      <c r="N81" s="37">
        <v>99000</v>
      </c>
      <c r="O81">
        <v>99000</v>
      </c>
      <c r="P81">
        <v>99000</v>
      </c>
      <c r="Q81">
        <v>99000</v>
      </c>
      <c r="R81">
        <v>99000</v>
      </c>
      <c r="S81">
        <v>99000</v>
      </c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</row>
    <row r="82" spans="1:37" x14ac:dyDescent="0.15">
      <c r="A82" s="58"/>
      <c r="B82" t="s">
        <v>285</v>
      </c>
      <c r="C82">
        <v>99000</v>
      </c>
      <c r="D82">
        <v>99000</v>
      </c>
      <c r="E82">
        <v>99000</v>
      </c>
      <c r="F82">
        <v>99000</v>
      </c>
      <c r="G82">
        <v>99000</v>
      </c>
      <c r="H82">
        <v>99000</v>
      </c>
      <c r="I82">
        <v>99000</v>
      </c>
      <c r="J82" s="8">
        <v>113.008</v>
      </c>
      <c r="K82">
        <v>99000</v>
      </c>
      <c r="L82" s="235">
        <v>0</v>
      </c>
      <c r="M82">
        <v>99000</v>
      </c>
      <c r="N82" s="37">
        <v>99000</v>
      </c>
      <c r="O82">
        <v>99000</v>
      </c>
      <c r="P82">
        <v>99000</v>
      </c>
      <c r="Q82">
        <v>99000</v>
      </c>
      <c r="R82">
        <v>99000</v>
      </c>
      <c r="S82">
        <v>99000</v>
      </c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</row>
    <row r="83" spans="1:37" x14ac:dyDescent="0.15">
      <c r="A83" s="58"/>
      <c r="B83" t="s">
        <v>286</v>
      </c>
      <c r="C83">
        <v>99000</v>
      </c>
      <c r="D83">
        <v>99000</v>
      </c>
      <c r="E83">
        <v>99000</v>
      </c>
      <c r="F83">
        <v>99000</v>
      </c>
      <c r="G83">
        <v>99000</v>
      </c>
      <c r="H83">
        <v>99000</v>
      </c>
      <c r="I83">
        <v>99000</v>
      </c>
      <c r="J83" s="8">
        <v>1.359</v>
      </c>
      <c r="K83">
        <v>99000</v>
      </c>
      <c r="L83" s="235">
        <v>0</v>
      </c>
      <c r="M83">
        <v>99000</v>
      </c>
      <c r="N83" s="37">
        <v>99000</v>
      </c>
      <c r="O83">
        <v>99000</v>
      </c>
      <c r="P83">
        <v>99000</v>
      </c>
      <c r="Q83">
        <v>99000</v>
      </c>
      <c r="R83">
        <v>99000</v>
      </c>
      <c r="S83">
        <v>99000</v>
      </c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</row>
    <row r="84" spans="1:37" x14ac:dyDescent="0.15">
      <c r="A84" s="58"/>
      <c r="B84" t="s">
        <v>287</v>
      </c>
      <c r="C84">
        <v>99000</v>
      </c>
      <c r="D84">
        <v>99000</v>
      </c>
      <c r="E84">
        <v>99000</v>
      </c>
      <c r="F84">
        <v>99000</v>
      </c>
      <c r="G84">
        <v>99000</v>
      </c>
      <c r="H84">
        <v>99000</v>
      </c>
      <c r="I84">
        <v>99000</v>
      </c>
      <c r="J84" s="8">
        <v>5.0489999999999995</v>
      </c>
      <c r="K84">
        <v>99000</v>
      </c>
      <c r="L84" s="235">
        <v>0</v>
      </c>
      <c r="M84">
        <v>99000</v>
      </c>
      <c r="N84" s="37">
        <v>99000</v>
      </c>
      <c r="O84">
        <v>99000</v>
      </c>
      <c r="P84">
        <v>99000</v>
      </c>
      <c r="Q84">
        <v>99000</v>
      </c>
      <c r="R84">
        <v>99000</v>
      </c>
      <c r="S84">
        <v>99000</v>
      </c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</row>
    <row r="85" spans="1:37" x14ac:dyDescent="0.15">
      <c r="A85" s="58"/>
      <c r="B85" t="s">
        <v>288</v>
      </c>
      <c r="C85">
        <v>99000</v>
      </c>
      <c r="D85">
        <v>99000</v>
      </c>
      <c r="E85">
        <v>99000</v>
      </c>
      <c r="F85">
        <v>99000</v>
      </c>
      <c r="G85">
        <v>99000</v>
      </c>
      <c r="H85">
        <v>99000</v>
      </c>
      <c r="I85">
        <v>99000</v>
      </c>
      <c r="J85" s="8">
        <v>8.0860000000000003</v>
      </c>
      <c r="K85">
        <v>99000</v>
      </c>
      <c r="L85" s="235">
        <v>0</v>
      </c>
      <c r="M85">
        <v>99000</v>
      </c>
      <c r="N85" s="37">
        <v>99000</v>
      </c>
      <c r="O85">
        <v>99000</v>
      </c>
      <c r="P85">
        <v>99000</v>
      </c>
      <c r="Q85">
        <v>99000</v>
      </c>
      <c r="R85">
        <v>99000</v>
      </c>
      <c r="S85">
        <v>99000</v>
      </c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</row>
    <row r="86" spans="1:37" x14ac:dyDescent="0.15">
      <c r="A86" s="58"/>
      <c r="B86" t="s">
        <v>289</v>
      </c>
      <c r="C86">
        <v>99000</v>
      </c>
      <c r="D86">
        <v>99000</v>
      </c>
      <c r="E86">
        <v>99000</v>
      </c>
      <c r="F86">
        <v>99000</v>
      </c>
      <c r="G86">
        <v>99000</v>
      </c>
      <c r="H86">
        <v>99000</v>
      </c>
      <c r="I86">
        <v>99000</v>
      </c>
      <c r="J86" s="8">
        <v>13.610000000000001</v>
      </c>
      <c r="K86">
        <v>99000</v>
      </c>
      <c r="L86" s="235">
        <v>0</v>
      </c>
      <c r="M86">
        <v>99000</v>
      </c>
      <c r="N86" s="37">
        <v>99000</v>
      </c>
      <c r="O86">
        <v>99000</v>
      </c>
      <c r="P86">
        <v>99000</v>
      </c>
      <c r="Q86">
        <v>99000</v>
      </c>
      <c r="R86">
        <v>99000</v>
      </c>
      <c r="S86">
        <v>99000</v>
      </c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</row>
    <row r="87" spans="1:37" x14ac:dyDescent="0.15">
      <c r="A87" s="58"/>
      <c r="B87" t="s">
        <v>306</v>
      </c>
      <c r="C87">
        <v>99000</v>
      </c>
      <c r="D87">
        <v>99000</v>
      </c>
      <c r="E87">
        <v>99000</v>
      </c>
      <c r="F87">
        <v>99000</v>
      </c>
      <c r="G87">
        <v>99000</v>
      </c>
      <c r="H87">
        <v>99000</v>
      </c>
      <c r="I87">
        <v>99000</v>
      </c>
      <c r="J87" s="8">
        <v>5.5779999999999994</v>
      </c>
      <c r="K87">
        <v>99000</v>
      </c>
      <c r="L87" s="235">
        <v>0</v>
      </c>
      <c r="M87">
        <v>99000</v>
      </c>
      <c r="N87" s="37">
        <v>99000</v>
      </c>
      <c r="O87">
        <v>99000</v>
      </c>
      <c r="P87">
        <v>99000</v>
      </c>
      <c r="Q87">
        <v>99000</v>
      </c>
      <c r="R87">
        <v>99000</v>
      </c>
      <c r="S87">
        <v>99000</v>
      </c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</row>
    <row r="88" spans="1:37" x14ac:dyDescent="0.15">
      <c r="A88" s="58"/>
      <c r="B88" t="s">
        <v>290</v>
      </c>
      <c r="C88">
        <v>99000</v>
      </c>
      <c r="D88">
        <v>99000</v>
      </c>
      <c r="E88">
        <v>99000</v>
      </c>
      <c r="F88">
        <v>99000</v>
      </c>
      <c r="G88">
        <v>99000</v>
      </c>
      <c r="H88">
        <v>99000</v>
      </c>
      <c r="I88">
        <v>99000</v>
      </c>
      <c r="J88" s="8">
        <v>0.82399999999999995</v>
      </c>
      <c r="K88">
        <v>99000</v>
      </c>
      <c r="L88" s="235">
        <v>0</v>
      </c>
      <c r="M88">
        <v>99000</v>
      </c>
      <c r="N88" s="37">
        <v>99000</v>
      </c>
      <c r="O88">
        <v>99000</v>
      </c>
      <c r="P88">
        <v>99000</v>
      </c>
      <c r="Q88">
        <v>99000</v>
      </c>
      <c r="R88">
        <v>99000</v>
      </c>
      <c r="S88">
        <v>99000</v>
      </c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</row>
    <row r="89" spans="1:37" x14ac:dyDescent="0.15">
      <c r="A89" s="58"/>
      <c r="B89" t="s">
        <v>291</v>
      </c>
      <c r="C89">
        <v>99000</v>
      </c>
      <c r="D89">
        <v>99000</v>
      </c>
      <c r="E89">
        <v>99000</v>
      </c>
      <c r="F89">
        <v>99000</v>
      </c>
      <c r="G89">
        <v>99000</v>
      </c>
      <c r="H89">
        <v>99000</v>
      </c>
      <c r="I89">
        <v>99000</v>
      </c>
      <c r="J89" s="8">
        <v>4.04</v>
      </c>
      <c r="K89">
        <v>99000</v>
      </c>
      <c r="L89" s="235">
        <v>0</v>
      </c>
      <c r="M89">
        <v>99000</v>
      </c>
      <c r="N89" s="37">
        <v>99000</v>
      </c>
      <c r="O89">
        <v>99000</v>
      </c>
      <c r="P89">
        <v>99000</v>
      </c>
      <c r="Q89">
        <v>99000</v>
      </c>
      <c r="R89">
        <v>99000</v>
      </c>
      <c r="S89">
        <v>99000</v>
      </c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</row>
    <row r="90" spans="1:37" x14ac:dyDescent="0.15">
      <c r="A90" s="58"/>
      <c r="B90" t="s">
        <v>293</v>
      </c>
      <c r="C90">
        <v>99000</v>
      </c>
      <c r="D90">
        <v>99000</v>
      </c>
      <c r="E90">
        <v>99000</v>
      </c>
      <c r="F90">
        <v>99000</v>
      </c>
      <c r="G90">
        <v>99000</v>
      </c>
      <c r="H90">
        <v>99000</v>
      </c>
      <c r="I90">
        <v>99000</v>
      </c>
      <c r="J90" s="8">
        <v>0.124</v>
      </c>
      <c r="K90">
        <v>99000</v>
      </c>
      <c r="L90" s="235">
        <v>0</v>
      </c>
      <c r="M90">
        <v>99000</v>
      </c>
      <c r="N90" s="37">
        <v>99000</v>
      </c>
      <c r="O90">
        <v>99000</v>
      </c>
      <c r="P90">
        <v>99000</v>
      </c>
      <c r="Q90">
        <v>99000</v>
      </c>
      <c r="R90">
        <v>99000</v>
      </c>
      <c r="S90">
        <v>99000</v>
      </c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</row>
    <row r="91" spans="1:37" x14ac:dyDescent="0.15">
      <c r="A91" s="58"/>
      <c r="B91" t="s">
        <v>292</v>
      </c>
      <c r="C91">
        <v>99000</v>
      </c>
      <c r="D91">
        <v>99000</v>
      </c>
      <c r="E91">
        <v>99000</v>
      </c>
      <c r="F91">
        <v>99000</v>
      </c>
      <c r="G91">
        <v>99000</v>
      </c>
      <c r="H91">
        <v>99000</v>
      </c>
      <c r="I91">
        <v>99000</v>
      </c>
      <c r="J91" s="8">
        <v>0.126</v>
      </c>
      <c r="K91">
        <v>99000</v>
      </c>
      <c r="L91" s="235">
        <v>0</v>
      </c>
      <c r="M91">
        <v>99000</v>
      </c>
      <c r="N91" s="37">
        <v>99000</v>
      </c>
      <c r="O91">
        <v>99000</v>
      </c>
      <c r="P91">
        <v>99000</v>
      </c>
      <c r="Q91">
        <v>99000</v>
      </c>
      <c r="R91">
        <v>99000</v>
      </c>
      <c r="S91">
        <v>99000</v>
      </c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</row>
    <row r="92" spans="1:37" x14ac:dyDescent="0.15">
      <c r="A92" s="58"/>
      <c r="B92" t="s">
        <v>294</v>
      </c>
      <c r="C92">
        <v>99000</v>
      </c>
      <c r="D92">
        <v>99000</v>
      </c>
      <c r="E92">
        <v>99000</v>
      </c>
      <c r="F92">
        <v>99000</v>
      </c>
      <c r="G92">
        <v>99000</v>
      </c>
      <c r="H92">
        <v>99000</v>
      </c>
      <c r="I92">
        <v>99000</v>
      </c>
      <c r="J92" s="8">
        <v>0.26200000000000001</v>
      </c>
      <c r="K92">
        <v>99000</v>
      </c>
      <c r="L92" s="235">
        <v>0</v>
      </c>
      <c r="M92">
        <v>99000</v>
      </c>
      <c r="N92" s="37">
        <v>99000</v>
      </c>
      <c r="O92">
        <v>99000</v>
      </c>
      <c r="P92">
        <v>99000</v>
      </c>
      <c r="Q92">
        <v>99000</v>
      </c>
      <c r="R92">
        <v>99000</v>
      </c>
      <c r="S92">
        <v>99000</v>
      </c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</row>
    <row r="93" spans="1:37" x14ac:dyDescent="0.15">
      <c r="A93" s="58"/>
      <c r="B93" t="s">
        <v>295</v>
      </c>
      <c r="C93">
        <v>99000</v>
      </c>
      <c r="D93">
        <v>99000</v>
      </c>
      <c r="E93">
        <v>99000</v>
      </c>
      <c r="F93">
        <v>99000</v>
      </c>
      <c r="G93">
        <v>99000</v>
      </c>
      <c r="H93">
        <v>99000</v>
      </c>
      <c r="I93">
        <v>99000</v>
      </c>
      <c r="J93" s="8">
        <v>3.3000000000000002E-2</v>
      </c>
      <c r="K93">
        <v>99000</v>
      </c>
      <c r="L93" s="235">
        <v>0</v>
      </c>
      <c r="M93">
        <v>99000</v>
      </c>
      <c r="N93" s="37">
        <v>99000</v>
      </c>
      <c r="O93">
        <v>99000</v>
      </c>
      <c r="P93">
        <v>99000</v>
      </c>
      <c r="Q93">
        <v>99000</v>
      </c>
      <c r="R93">
        <v>99000</v>
      </c>
      <c r="S93">
        <v>99000</v>
      </c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</row>
    <row r="94" spans="1:37" x14ac:dyDescent="0.15">
      <c r="A94" s="58"/>
      <c r="B94" t="s">
        <v>296</v>
      </c>
      <c r="C94">
        <v>99000</v>
      </c>
      <c r="D94">
        <v>99000</v>
      </c>
      <c r="E94">
        <v>99000</v>
      </c>
      <c r="F94">
        <v>99000</v>
      </c>
      <c r="G94">
        <v>99000</v>
      </c>
      <c r="H94">
        <v>99000</v>
      </c>
      <c r="I94">
        <v>99000</v>
      </c>
      <c r="J94">
        <v>0</v>
      </c>
      <c r="K94">
        <v>99000</v>
      </c>
      <c r="L94" s="235">
        <v>0</v>
      </c>
      <c r="M94">
        <v>99000</v>
      </c>
      <c r="N94" s="37">
        <v>99000</v>
      </c>
      <c r="O94">
        <v>99000</v>
      </c>
      <c r="P94">
        <v>99000</v>
      </c>
      <c r="Q94">
        <v>99000</v>
      </c>
      <c r="R94">
        <v>99000</v>
      </c>
      <c r="S94">
        <v>99000</v>
      </c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</row>
    <row r="95" spans="1:37" x14ac:dyDescent="0.15">
      <c r="A95" s="122"/>
      <c r="B95" t="s">
        <v>297</v>
      </c>
      <c r="C95">
        <v>99000</v>
      </c>
      <c r="D95">
        <v>99000</v>
      </c>
      <c r="E95">
        <v>99000</v>
      </c>
      <c r="F95">
        <v>99000</v>
      </c>
      <c r="G95">
        <v>99000</v>
      </c>
      <c r="H95">
        <v>99000</v>
      </c>
      <c r="I95">
        <v>99000</v>
      </c>
      <c r="J95">
        <v>14.916</v>
      </c>
      <c r="K95">
        <v>99000</v>
      </c>
      <c r="L95" s="235">
        <v>0</v>
      </c>
      <c r="M95">
        <v>99000</v>
      </c>
      <c r="N95" s="37">
        <v>99000</v>
      </c>
      <c r="O95">
        <v>99000</v>
      </c>
      <c r="P95">
        <v>99000</v>
      </c>
      <c r="Q95">
        <v>99000</v>
      </c>
      <c r="R95">
        <v>99000</v>
      </c>
      <c r="S95">
        <v>99000</v>
      </c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</row>
    <row r="96" spans="1:37" x14ac:dyDescent="0.15">
      <c r="A96" s="122"/>
      <c r="B96" t="s">
        <v>298</v>
      </c>
      <c r="C96">
        <v>99000</v>
      </c>
      <c r="D96">
        <v>99000</v>
      </c>
      <c r="E96">
        <v>99000</v>
      </c>
      <c r="F96">
        <v>99000</v>
      </c>
      <c r="G96">
        <v>99000</v>
      </c>
      <c r="H96">
        <v>99000</v>
      </c>
      <c r="I96">
        <v>99000</v>
      </c>
      <c r="J96">
        <v>1.371</v>
      </c>
      <c r="K96">
        <v>99000</v>
      </c>
      <c r="L96" s="235">
        <v>0</v>
      </c>
      <c r="M96">
        <v>99000</v>
      </c>
      <c r="N96" s="37">
        <v>99000</v>
      </c>
      <c r="O96">
        <v>99000</v>
      </c>
      <c r="P96">
        <v>99000</v>
      </c>
      <c r="Q96">
        <v>99000</v>
      </c>
      <c r="R96">
        <v>99000</v>
      </c>
      <c r="S96">
        <v>99000</v>
      </c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</row>
    <row r="97" spans="1:37" x14ac:dyDescent="0.15">
      <c r="A97" s="122"/>
      <c r="B97" t="s">
        <v>299</v>
      </c>
      <c r="C97">
        <v>99000</v>
      </c>
      <c r="D97">
        <v>99000</v>
      </c>
      <c r="E97">
        <v>99000</v>
      </c>
      <c r="F97">
        <v>99000</v>
      </c>
      <c r="G97">
        <v>99000</v>
      </c>
      <c r="H97">
        <v>99000</v>
      </c>
      <c r="I97">
        <v>99000</v>
      </c>
      <c r="J97">
        <v>0.85400000000000009</v>
      </c>
      <c r="K97">
        <v>99000</v>
      </c>
      <c r="L97" s="235">
        <v>0</v>
      </c>
      <c r="M97">
        <v>99000</v>
      </c>
      <c r="N97" s="37">
        <v>99000</v>
      </c>
      <c r="O97">
        <v>99000</v>
      </c>
      <c r="P97">
        <v>99000</v>
      </c>
      <c r="Q97">
        <v>99000</v>
      </c>
      <c r="R97">
        <v>99000</v>
      </c>
      <c r="S97">
        <v>99000</v>
      </c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</row>
    <row r="98" spans="1:37" x14ac:dyDescent="0.15">
      <c r="A98" s="120"/>
      <c r="B98" s="16" t="s">
        <v>311</v>
      </c>
      <c r="C98" s="16">
        <v>99000</v>
      </c>
      <c r="D98" s="16">
        <v>99000</v>
      </c>
      <c r="E98" s="16">
        <v>99000</v>
      </c>
      <c r="F98" s="16">
        <v>99000</v>
      </c>
      <c r="G98" s="16">
        <v>99000</v>
      </c>
      <c r="H98" s="16">
        <v>99000</v>
      </c>
      <c r="I98" s="16">
        <v>99000</v>
      </c>
      <c r="J98" s="16">
        <v>7.3709999999999996</v>
      </c>
      <c r="K98" s="16">
        <v>99000</v>
      </c>
      <c r="L98" s="236">
        <v>6</v>
      </c>
      <c r="M98" s="16">
        <v>99000</v>
      </c>
      <c r="N98" s="37">
        <v>99000</v>
      </c>
      <c r="O98" s="16">
        <v>99000</v>
      </c>
      <c r="P98" s="16">
        <v>99000</v>
      </c>
      <c r="Q98" s="16">
        <v>99000</v>
      </c>
      <c r="R98" s="16">
        <v>99000</v>
      </c>
      <c r="S98" s="16">
        <v>99000</v>
      </c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</row>
    <row r="99" spans="1:37" x14ac:dyDescent="0.15">
      <c r="A99" s="144" t="s">
        <v>246</v>
      </c>
      <c r="B99" s="37" t="s">
        <v>93</v>
      </c>
      <c r="C99">
        <v>6.4879999999999995</v>
      </c>
      <c r="D99">
        <v>0</v>
      </c>
      <c r="E99">
        <v>0</v>
      </c>
      <c r="F99">
        <v>3.0260000000000002</v>
      </c>
      <c r="G99">
        <v>0</v>
      </c>
      <c r="H99" s="37">
        <v>0</v>
      </c>
      <c r="I99">
        <v>0</v>
      </c>
      <c r="J99">
        <v>2.2709999999999999</v>
      </c>
      <c r="K99">
        <v>1.081</v>
      </c>
      <c r="L99">
        <v>0</v>
      </c>
      <c r="M99">
        <v>0</v>
      </c>
      <c r="N99" s="37">
        <v>99000</v>
      </c>
      <c r="O99">
        <v>0</v>
      </c>
      <c r="P99" s="37">
        <v>99000</v>
      </c>
      <c r="Q99">
        <v>2.0183333333333331</v>
      </c>
      <c r="R99">
        <v>2.0183333333333331</v>
      </c>
      <c r="S99">
        <v>2.0183333333333331</v>
      </c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</row>
    <row r="100" spans="1:37" x14ac:dyDescent="0.15">
      <c r="A100" s="144"/>
      <c r="B100" s="37" t="s">
        <v>92</v>
      </c>
      <c r="C100">
        <v>0</v>
      </c>
      <c r="D100">
        <v>6</v>
      </c>
      <c r="E100">
        <v>0</v>
      </c>
      <c r="F100">
        <v>3.25</v>
      </c>
      <c r="G100">
        <v>0</v>
      </c>
      <c r="H100" s="37">
        <v>0</v>
      </c>
      <c r="I100">
        <v>0</v>
      </c>
      <c r="J100">
        <v>0</v>
      </c>
      <c r="K100">
        <v>3.25</v>
      </c>
      <c r="L100">
        <v>5</v>
      </c>
      <c r="M100">
        <v>0</v>
      </c>
      <c r="N100" s="37">
        <v>99000</v>
      </c>
      <c r="O100">
        <v>0</v>
      </c>
      <c r="P100" s="37">
        <v>99000</v>
      </c>
      <c r="Q100">
        <v>0</v>
      </c>
      <c r="R100">
        <v>0</v>
      </c>
      <c r="S100">
        <v>0</v>
      </c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</row>
    <row r="101" spans="1:37" x14ac:dyDescent="0.15">
      <c r="A101" s="144"/>
      <c r="B101" s="37" t="s">
        <v>91</v>
      </c>
      <c r="C101">
        <v>0</v>
      </c>
      <c r="D101">
        <v>5.75</v>
      </c>
      <c r="E101">
        <v>0</v>
      </c>
      <c r="F101">
        <v>2.875</v>
      </c>
      <c r="G101">
        <v>0</v>
      </c>
      <c r="H101" s="37">
        <v>0</v>
      </c>
      <c r="I101">
        <v>0</v>
      </c>
      <c r="J101">
        <v>0</v>
      </c>
      <c r="K101">
        <v>2.875</v>
      </c>
      <c r="L101">
        <v>0</v>
      </c>
      <c r="M101">
        <v>0</v>
      </c>
      <c r="N101" s="37">
        <v>99000</v>
      </c>
      <c r="O101">
        <v>0</v>
      </c>
      <c r="P101" s="37">
        <v>99000</v>
      </c>
      <c r="Q101">
        <v>0</v>
      </c>
      <c r="R101">
        <v>0</v>
      </c>
      <c r="S101">
        <v>0</v>
      </c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</row>
    <row r="102" spans="1:37" x14ac:dyDescent="0.15">
      <c r="A102" s="144"/>
      <c r="B102" s="37" t="s">
        <v>90</v>
      </c>
      <c r="C102">
        <v>0</v>
      </c>
      <c r="D102">
        <v>10.25</v>
      </c>
      <c r="E102">
        <v>0</v>
      </c>
      <c r="F102">
        <v>2.75</v>
      </c>
      <c r="G102">
        <v>0</v>
      </c>
      <c r="H102" s="37">
        <v>0</v>
      </c>
      <c r="I102">
        <v>0</v>
      </c>
      <c r="J102">
        <v>0</v>
      </c>
      <c r="K102">
        <v>2.75</v>
      </c>
      <c r="L102">
        <v>0</v>
      </c>
      <c r="M102">
        <v>0</v>
      </c>
      <c r="N102" s="37">
        <v>99000</v>
      </c>
      <c r="O102">
        <v>0</v>
      </c>
      <c r="P102" s="37">
        <v>99000</v>
      </c>
      <c r="Q102">
        <v>0</v>
      </c>
      <c r="R102">
        <v>0</v>
      </c>
      <c r="S102">
        <v>0</v>
      </c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</row>
    <row r="103" spans="1:37" x14ac:dyDescent="0.15">
      <c r="A103" s="144"/>
      <c r="B103" s="37" t="s">
        <v>89</v>
      </c>
      <c r="C103">
        <v>3.968</v>
      </c>
      <c r="D103">
        <v>0</v>
      </c>
      <c r="E103">
        <v>0</v>
      </c>
      <c r="F103">
        <v>9.261000000000001</v>
      </c>
      <c r="G103">
        <v>0</v>
      </c>
      <c r="H103" s="37">
        <v>0</v>
      </c>
      <c r="I103">
        <v>0</v>
      </c>
      <c r="J103">
        <v>1.389</v>
      </c>
      <c r="K103">
        <v>3.899</v>
      </c>
      <c r="L103">
        <v>0</v>
      </c>
      <c r="M103">
        <v>0</v>
      </c>
      <c r="N103" s="37">
        <v>99000</v>
      </c>
      <c r="O103">
        <v>0</v>
      </c>
      <c r="P103" s="37">
        <v>99000</v>
      </c>
      <c r="Q103">
        <v>2.6666666666666665E-2</v>
      </c>
      <c r="R103">
        <v>2.6666666666666665E-2</v>
      </c>
      <c r="S103">
        <v>2.6666666666666665E-2</v>
      </c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</row>
    <row r="104" spans="1:37" x14ac:dyDescent="0.15">
      <c r="A104" s="144"/>
      <c r="B104" s="37" t="s">
        <v>88</v>
      </c>
      <c r="C104">
        <v>0</v>
      </c>
      <c r="D104">
        <v>0.5</v>
      </c>
      <c r="E104">
        <v>0</v>
      </c>
      <c r="F104">
        <v>3.2950000000000004</v>
      </c>
      <c r="G104">
        <v>0</v>
      </c>
      <c r="H104" s="37">
        <v>0</v>
      </c>
      <c r="I104">
        <v>0</v>
      </c>
      <c r="J104">
        <v>0</v>
      </c>
      <c r="K104">
        <v>0.125</v>
      </c>
      <c r="L104">
        <v>12</v>
      </c>
      <c r="M104">
        <v>0</v>
      </c>
      <c r="N104" s="37">
        <v>99000</v>
      </c>
      <c r="O104">
        <v>0</v>
      </c>
      <c r="P104" s="37">
        <v>99000</v>
      </c>
      <c r="Q104">
        <v>0</v>
      </c>
      <c r="R104">
        <v>0</v>
      </c>
      <c r="S104">
        <v>0</v>
      </c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</row>
    <row r="105" spans="1:37" x14ac:dyDescent="0.15">
      <c r="A105" s="144"/>
      <c r="B105" s="37" t="s">
        <v>303</v>
      </c>
      <c r="C105">
        <v>15.185</v>
      </c>
      <c r="D105">
        <v>0</v>
      </c>
      <c r="E105">
        <v>0</v>
      </c>
      <c r="F105">
        <v>0.25</v>
      </c>
      <c r="G105">
        <v>0</v>
      </c>
      <c r="H105" s="37">
        <v>0</v>
      </c>
      <c r="I105">
        <v>0.59599999999999997</v>
      </c>
      <c r="J105">
        <v>0.502</v>
      </c>
      <c r="K105">
        <v>0.34200000000000003</v>
      </c>
      <c r="L105">
        <v>51.988</v>
      </c>
      <c r="M105">
        <v>0</v>
      </c>
      <c r="N105" s="37">
        <v>99000</v>
      </c>
      <c r="O105">
        <v>14.683</v>
      </c>
      <c r="P105" s="37">
        <v>99000</v>
      </c>
      <c r="Q105">
        <v>0.15333333333333335</v>
      </c>
      <c r="R105">
        <v>0.15333333333333335</v>
      </c>
      <c r="S105">
        <v>0.15333333333333335</v>
      </c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</row>
    <row r="106" spans="1:37" x14ac:dyDescent="0.15">
      <c r="A106" s="144"/>
      <c r="B106" s="37" t="s">
        <v>86</v>
      </c>
      <c r="C106">
        <v>213.75800000000001</v>
      </c>
      <c r="D106">
        <v>0</v>
      </c>
      <c r="E106">
        <v>5</v>
      </c>
      <c r="F106">
        <v>64.430000000000007</v>
      </c>
      <c r="G106">
        <v>0</v>
      </c>
      <c r="H106" s="37">
        <v>0</v>
      </c>
      <c r="I106">
        <v>27.225999999999999</v>
      </c>
      <c r="J106">
        <v>51.744999999999997</v>
      </c>
      <c r="K106">
        <v>28.376999999999999</v>
      </c>
      <c r="L106">
        <v>92.492000000000004</v>
      </c>
      <c r="M106">
        <v>0</v>
      </c>
      <c r="N106" s="37">
        <v>99000</v>
      </c>
      <c r="O106">
        <v>35.966000000000001</v>
      </c>
      <c r="P106" s="37">
        <v>99000</v>
      </c>
      <c r="Q106">
        <v>60.70366666666667</v>
      </c>
      <c r="R106">
        <v>60.70366666666667</v>
      </c>
      <c r="S106">
        <v>60.70366666666667</v>
      </c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</row>
    <row r="107" spans="1:37" x14ac:dyDescent="0.15">
      <c r="A107" s="144"/>
      <c r="B107" s="37" t="s">
        <v>85</v>
      </c>
      <c r="C107">
        <v>24.355</v>
      </c>
      <c r="D107">
        <v>0</v>
      </c>
      <c r="E107">
        <v>0</v>
      </c>
      <c r="F107">
        <v>6.0200000000000005</v>
      </c>
      <c r="G107">
        <v>1.3089999999999999</v>
      </c>
      <c r="H107" s="37">
        <v>0</v>
      </c>
      <c r="I107">
        <v>0</v>
      </c>
      <c r="J107">
        <v>9.1590000000000007</v>
      </c>
      <c r="K107">
        <v>5.0350000000000001</v>
      </c>
      <c r="L107">
        <v>0</v>
      </c>
      <c r="M107">
        <v>0</v>
      </c>
      <c r="N107" s="37">
        <v>99000</v>
      </c>
      <c r="O107">
        <v>0</v>
      </c>
      <c r="P107" s="37">
        <v>99000</v>
      </c>
      <c r="Q107">
        <v>1.5036666666666669</v>
      </c>
      <c r="R107">
        <v>1.5036666666666669</v>
      </c>
      <c r="S107">
        <v>1.5036666666666669</v>
      </c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</row>
    <row r="108" spans="1:37" x14ac:dyDescent="0.15">
      <c r="A108" s="144"/>
      <c r="B108" s="37" t="s">
        <v>84</v>
      </c>
      <c r="C108">
        <v>6.8500000000000005</v>
      </c>
      <c r="D108">
        <v>0</v>
      </c>
      <c r="E108">
        <v>0</v>
      </c>
      <c r="F108">
        <v>1.849</v>
      </c>
      <c r="G108">
        <v>0</v>
      </c>
      <c r="H108" s="37">
        <v>0</v>
      </c>
      <c r="I108">
        <v>2.8620000000000001</v>
      </c>
      <c r="J108">
        <v>1.1850000000000001</v>
      </c>
      <c r="K108">
        <v>1.3159999999999998</v>
      </c>
      <c r="L108">
        <v>4.5229999999999997</v>
      </c>
      <c r="M108">
        <v>0</v>
      </c>
      <c r="N108" s="37">
        <v>99000</v>
      </c>
      <c r="O108">
        <v>1.661</v>
      </c>
      <c r="P108" s="37">
        <v>99000</v>
      </c>
      <c r="Q108">
        <v>1.6106666666666667</v>
      </c>
      <c r="R108">
        <v>1.6106666666666667</v>
      </c>
      <c r="S108">
        <v>1.6106666666666667</v>
      </c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</row>
    <row r="109" spans="1:37" x14ac:dyDescent="0.15">
      <c r="A109" s="144"/>
      <c r="B109" s="37" t="s">
        <v>131</v>
      </c>
      <c r="C109">
        <v>0</v>
      </c>
      <c r="D109">
        <v>61.898000000000003</v>
      </c>
      <c r="E109">
        <v>7.282</v>
      </c>
      <c r="F109">
        <v>3.641</v>
      </c>
      <c r="G109">
        <v>0</v>
      </c>
      <c r="H109" s="37">
        <v>0</v>
      </c>
      <c r="I109">
        <v>0.379</v>
      </c>
      <c r="J109">
        <v>0</v>
      </c>
      <c r="K109">
        <v>0</v>
      </c>
      <c r="L109">
        <v>0</v>
      </c>
      <c r="M109">
        <v>61.898000000000003</v>
      </c>
      <c r="N109" s="37">
        <v>99000</v>
      </c>
      <c r="O109">
        <v>1.3110000000000002</v>
      </c>
      <c r="P109" s="37">
        <v>99000</v>
      </c>
      <c r="Q109">
        <v>0.58266666666666667</v>
      </c>
      <c r="R109">
        <v>0.58266666666666667</v>
      </c>
      <c r="S109">
        <v>0.58266666666666667</v>
      </c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</row>
    <row r="110" spans="1:37" x14ac:dyDescent="0.15">
      <c r="A110" s="144"/>
      <c r="B110" s="37" t="s">
        <v>132</v>
      </c>
      <c r="C110">
        <v>0</v>
      </c>
      <c r="D110">
        <v>10.139560768925715</v>
      </c>
      <c r="E110">
        <v>31.854720878295161</v>
      </c>
      <c r="F110">
        <v>6.4295744818517653</v>
      </c>
      <c r="G110">
        <v>3.9508766671536795</v>
      </c>
      <c r="H110" s="37">
        <v>0</v>
      </c>
      <c r="I110">
        <v>2</v>
      </c>
      <c r="J110">
        <v>0</v>
      </c>
      <c r="K110">
        <v>0</v>
      </c>
      <c r="L110">
        <v>22.451889252989915</v>
      </c>
      <c r="M110">
        <v>10.076560768925717</v>
      </c>
      <c r="N110" s="37">
        <v>99000</v>
      </c>
      <c r="O110">
        <v>7.1976115088393051</v>
      </c>
      <c r="P110" s="37">
        <v>99000</v>
      </c>
      <c r="Q110">
        <v>6.3595668079007597</v>
      </c>
      <c r="R110">
        <v>6.3595668079007597</v>
      </c>
      <c r="S110">
        <v>6.3595668079007597</v>
      </c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</row>
    <row r="111" spans="1:37" x14ac:dyDescent="0.15">
      <c r="A111" s="144"/>
      <c r="B111" s="37" t="s">
        <v>83</v>
      </c>
      <c r="C111">
        <v>111</v>
      </c>
      <c r="D111">
        <v>0</v>
      </c>
      <c r="E111">
        <v>0.17</v>
      </c>
      <c r="F111">
        <v>54.199999999999996</v>
      </c>
      <c r="G111">
        <v>54.137</v>
      </c>
      <c r="H111" s="37">
        <v>0</v>
      </c>
      <c r="I111">
        <v>3.0000000000000001E-3</v>
      </c>
      <c r="J111">
        <v>0</v>
      </c>
      <c r="K111">
        <v>5.8999999999999997E-2</v>
      </c>
      <c r="L111">
        <v>0</v>
      </c>
      <c r="M111">
        <v>0</v>
      </c>
      <c r="N111" s="37">
        <v>99000</v>
      </c>
      <c r="O111">
        <v>29.727</v>
      </c>
      <c r="P111" s="37">
        <v>99000</v>
      </c>
      <c r="Q111">
        <v>13.386000000000001</v>
      </c>
      <c r="R111">
        <v>13.386000000000001</v>
      </c>
      <c r="S111">
        <v>13.386000000000001</v>
      </c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</row>
    <row r="112" spans="1:37" x14ac:dyDescent="0.15">
      <c r="A112" s="144"/>
      <c r="B112" s="37" t="s">
        <v>82</v>
      </c>
      <c r="C112">
        <v>0</v>
      </c>
      <c r="D112">
        <v>47.055</v>
      </c>
      <c r="E112">
        <v>0</v>
      </c>
      <c r="F112">
        <v>0.66600000000000004</v>
      </c>
      <c r="G112">
        <v>0</v>
      </c>
      <c r="H112" s="37">
        <v>0</v>
      </c>
      <c r="I112">
        <v>0</v>
      </c>
      <c r="J112">
        <v>0</v>
      </c>
      <c r="K112">
        <v>0.66600000000000004</v>
      </c>
      <c r="L112">
        <v>135.666</v>
      </c>
      <c r="M112">
        <v>47.055</v>
      </c>
      <c r="N112" s="37">
        <v>99000</v>
      </c>
      <c r="O112">
        <v>0</v>
      </c>
      <c r="P112" s="37">
        <v>99000</v>
      </c>
      <c r="Q112">
        <v>0</v>
      </c>
      <c r="R112">
        <v>0</v>
      </c>
      <c r="S112">
        <v>0</v>
      </c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</row>
    <row r="113" spans="1:37" x14ac:dyDescent="0.15">
      <c r="A113" s="144"/>
      <c r="B113" s="37" t="s">
        <v>272</v>
      </c>
      <c r="C113">
        <v>5</v>
      </c>
      <c r="D113">
        <v>0</v>
      </c>
      <c r="E113">
        <v>5</v>
      </c>
      <c r="F113">
        <v>1.5</v>
      </c>
      <c r="G113">
        <v>0</v>
      </c>
      <c r="H113" s="37">
        <v>0</v>
      </c>
      <c r="I113">
        <v>0</v>
      </c>
      <c r="J113">
        <v>0</v>
      </c>
      <c r="K113">
        <v>3</v>
      </c>
      <c r="L113">
        <v>0</v>
      </c>
      <c r="M113">
        <v>0</v>
      </c>
      <c r="N113" s="37">
        <v>99000</v>
      </c>
      <c r="O113">
        <v>2</v>
      </c>
      <c r="P113" s="37">
        <v>99000</v>
      </c>
      <c r="Q113">
        <v>0</v>
      </c>
      <c r="R113">
        <v>0</v>
      </c>
      <c r="S113">
        <v>0</v>
      </c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</row>
    <row r="114" spans="1:37" x14ac:dyDescent="0.15">
      <c r="A114" s="144"/>
      <c r="B114" s="37" t="s">
        <v>273</v>
      </c>
      <c r="C114">
        <v>0</v>
      </c>
      <c r="D114">
        <v>26.915439231074284</v>
      </c>
      <c r="E114">
        <v>104.41827912170483</v>
      </c>
      <c r="F114">
        <v>15.833425518148234</v>
      </c>
      <c r="G114">
        <v>11.00612333284632</v>
      </c>
      <c r="H114" s="37">
        <v>0</v>
      </c>
      <c r="I114">
        <v>2</v>
      </c>
      <c r="J114">
        <v>0</v>
      </c>
      <c r="K114">
        <v>0</v>
      </c>
      <c r="L114">
        <v>85.04911074701009</v>
      </c>
      <c r="M114">
        <v>26.915439231074284</v>
      </c>
      <c r="N114" s="37">
        <v>99000</v>
      </c>
      <c r="O114">
        <v>25.182388491160694</v>
      </c>
      <c r="P114" s="37">
        <v>99000</v>
      </c>
      <c r="Q114">
        <v>21.456766525432577</v>
      </c>
      <c r="R114">
        <v>21.456766525432577</v>
      </c>
      <c r="S114">
        <v>21.456766525432577</v>
      </c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</row>
    <row r="115" spans="1:37" x14ac:dyDescent="0.15">
      <c r="A115" s="144"/>
      <c r="B115" s="37" t="s">
        <v>274</v>
      </c>
      <c r="C115">
        <v>9.8949999999999996</v>
      </c>
      <c r="D115">
        <v>0</v>
      </c>
      <c r="E115">
        <v>0</v>
      </c>
      <c r="F115">
        <v>0.12000000000000001</v>
      </c>
      <c r="G115">
        <v>0</v>
      </c>
      <c r="H115" s="37">
        <v>0</v>
      </c>
      <c r="I115">
        <v>0</v>
      </c>
      <c r="J115">
        <v>0</v>
      </c>
      <c r="K115">
        <v>0.16200000000000001</v>
      </c>
      <c r="L115">
        <v>0</v>
      </c>
      <c r="M115">
        <v>0</v>
      </c>
      <c r="N115" s="37">
        <v>99000</v>
      </c>
      <c r="O115">
        <v>9.8949999999999996</v>
      </c>
      <c r="P115" s="37">
        <v>99000</v>
      </c>
      <c r="Q115">
        <v>0</v>
      </c>
      <c r="R115">
        <v>0</v>
      </c>
      <c r="S115">
        <v>0</v>
      </c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</row>
    <row r="116" spans="1:37" x14ac:dyDescent="0.15">
      <c r="A116" s="144"/>
      <c r="B116" s="37" t="s">
        <v>275</v>
      </c>
      <c r="C116">
        <v>11.464</v>
      </c>
      <c r="D116">
        <v>0</v>
      </c>
      <c r="E116">
        <v>0</v>
      </c>
      <c r="F116">
        <v>1.9120000000000001</v>
      </c>
      <c r="G116">
        <v>0</v>
      </c>
      <c r="H116" s="37">
        <v>0</v>
      </c>
      <c r="I116">
        <v>2.387</v>
      </c>
      <c r="J116">
        <v>1.8339999999999999</v>
      </c>
      <c r="K116">
        <v>0.95499999999999996</v>
      </c>
      <c r="L116">
        <v>8.1169999999999991</v>
      </c>
      <c r="M116">
        <v>0</v>
      </c>
      <c r="N116" s="37">
        <v>99000</v>
      </c>
      <c r="O116">
        <v>1.7282184105202973</v>
      </c>
      <c r="P116" s="37">
        <v>99000</v>
      </c>
      <c r="Q116">
        <v>2.73</v>
      </c>
      <c r="R116">
        <v>2.73</v>
      </c>
      <c r="S116">
        <v>2.73</v>
      </c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</row>
    <row r="117" spans="1:37" x14ac:dyDescent="0.15">
      <c r="A117" s="144"/>
      <c r="B117" s="37" t="s">
        <v>309</v>
      </c>
      <c r="C117">
        <v>6.3160000000000007</v>
      </c>
      <c r="D117">
        <v>0</v>
      </c>
      <c r="E117">
        <v>0</v>
      </c>
      <c r="F117">
        <v>1.0529999999999999</v>
      </c>
      <c r="G117">
        <v>0</v>
      </c>
      <c r="H117" s="37">
        <v>0</v>
      </c>
      <c r="I117">
        <v>1.3159999999999998</v>
      </c>
      <c r="J117">
        <v>1.0109999999999999</v>
      </c>
      <c r="K117">
        <v>0.52600000000000002</v>
      </c>
      <c r="L117">
        <v>4.4720000000000004</v>
      </c>
      <c r="M117">
        <v>0</v>
      </c>
      <c r="N117" s="37">
        <v>99000</v>
      </c>
      <c r="O117">
        <v>0.92378158947970268</v>
      </c>
      <c r="P117" s="37">
        <v>99000</v>
      </c>
      <c r="Q117">
        <v>1.5926666666666665</v>
      </c>
      <c r="R117">
        <v>1.5926666666666665</v>
      </c>
      <c r="S117">
        <v>1.5926666666666665</v>
      </c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</row>
    <row r="118" spans="1:37" x14ac:dyDescent="0.15">
      <c r="A118" s="144"/>
      <c r="B118" s="1" t="s">
        <v>283</v>
      </c>
      <c r="C118">
        <v>99000</v>
      </c>
      <c r="D118">
        <v>99000</v>
      </c>
      <c r="E118">
        <v>99000</v>
      </c>
      <c r="F118">
        <v>99000</v>
      </c>
      <c r="G118">
        <v>99000</v>
      </c>
      <c r="H118">
        <v>99000</v>
      </c>
      <c r="I118">
        <v>99000</v>
      </c>
      <c r="J118" s="8">
        <v>0.79699999999999993</v>
      </c>
      <c r="K118">
        <v>99000</v>
      </c>
      <c r="L118" s="235">
        <v>0</v>
      </c>
      <c r="M118">
        <v>99000</v>
      </c>
      <c r="N118" s="37">
        <v>99000</v>
      </c>
      <c r="O118">
        <v>99000</v>
      </c>
      <c r="P118">
        <v>99000</v>
      </c>
      <c r="Q118">
        <v>99000</v>
      </c>
      <c r="R118">
        <v>99000</v>
      </c>
      <c r="S118">
        <v>99000</v>
      </c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</row>
    <row r="119" spans="1:37" x14ac:dyDescent="0.15">
      <c r="A119" s="144"/>
      <c r="B119" s="1" t="s">
        <v>284</v>
      </c>
      <c r="C119">
        <v>99000</v>
      </c>
      <c r="D119">
        <v>99000</v>
      </c>
      <c r="E119">
        <v>99000</v>
      </c>
      <c r="F119">
        <v>99000</v>
      </c>
      <c r="G119">
        <v>99000</v>
      </c>
      <c r="H119">
        <v>99000</v>
      </c>
      <c r="I119">
        <v>99000</v>
      </c>
      <c r="J119" s="8">
        <v>14.607999999999999</v>
      </c>
      <c r="K119">
        <v>99000</v>
      </c>
      <c r="L119" s="235">
        <v>0</v>
      </c>
      <c r="M119">
        <v>99000</v>
      </c>
      <c r="N119" s="37">
        <v>99000</v>
      </c>
      <c r="O119">
        <v>99000</v>
      </c>
      <c r="P119">
        <v>99000</v>
      </c>
      <c r="Q119">
        <v>99000</v>
      </c>
      <c r="R119">
        <v>99000</v>
      </c>
      <c r="S119">
        <v>99000</v>
      </c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</row>
    <row r="120" spans="1:37" x14ac:dyDescent="0.15">
      <c r="A120" s="144"/>
      <c r="B120" t="s">
        <v>285</v>
      </c>
      <c r="C120">
        <v>99000</v>
      </c>
      <c r="D120">
        <v>99000</v>
      </c>
      <c r="E120">
        <v>99000</v>
      </c>
      <c r="F120">
        <v>99000</v>
      </c>
      <c r="G120">
        <v>99000</v>
      </c>
      <c r="H120">
        <v>99000</v>
      </c>
      <c r="I120">
        <v>99000</v>
      </c>
      <c r="J120" s="8">
        <v>113.008</v>
      </c>
      <c r="K120">
        <v>99000</v>
      </c>
      <c r="L120" s="235">
        <v>0</v>
      </c>
      <c r="M120">
        <v>99000</v>
      </c>
      <c r="N120" s="37">
        <v>99000</v>
      </c>
      <c r="O120">
        <v>99000</v>
      </c>
      <c r="P120">
        <v>99000</v>
      </c>
      <c r="Q120">
        <v>99000</v>
      </c>
      <c r="R120">
        <v>99000</v>
      </c>
      <c r="S120">
        <v>99000</v>
      </c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</row>
    <row r="121" spans="1:37" x14ac:dyDescent="0.15">
      <c r="A121" s="144"/>
      <c r="B121" t="s">
        <v>286</v>
      </c>
      <c r="C121">
        <v>99000</v>
      </c>
      <c r="D121">
        <v>99000</v>
      </c>
      <c r="E121">
        <v>99000</v>
      </c>
      <c r="F121">
        <v>99000</v>
      </c>
      <c r="G121">
        <v>99000</v>
      </c>
      <c r="H121">
        <v>99000</v>
      </c>
      <c r="I121">
        <v>99000</v>
      </c>
      <c r="J121" s="8">
        <v>1.359</v>
      </c>
      <c r="K121">
        <v>99000</v>
      </c>
      <c r="L121" s="235">
        <v>0</v>
      </c>
      <c r="M121">
        <v>99000</v>
      </c>
      <c r="N121" s="37">
        <v>99000</v>
      </c>
      <c r="O121">
        <v>99000</v>
      </c>
      <c r="P121">
        <v>99000</v>
      </c>
      <c r="Q121">
        <v>99000</v>
      </c>
      <c r="R121">
        <v>99000</v>
      </c>
      <c r="S121">
        <v>99000</v>
      </c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</row>
    <row r="122" spans="1:37" x14ac:dyDescent="0.15">
      <c r="A122" s="144"/>
      <c r="B122" t="s">
        <v>287</v>
      </c>
      <c r="C122">
        <v>99000</v>
      </c>
      <c r="D122">
        <v>99000</v>
      </c>
      <c r="E122">
        <v>99000</v>
      </c>
      <c r="F122">
        <v>99000</v>
      </c>
      <c r="G122">
        <v>99000</v>
      </c>
      <c r="H122">
        <v>99000</v>
      </c>
      <c r="I122">
        <v>99000</v>
      </c>
      <c r="J122" s="8">
        <v>5.0489999999999995</v>
      </c>
      <c r="K122">
        <v>99000</v>
      </c>
      <c r="L122" s="235">
        <v>0</v>
      </c>
      <c r="M122">
        <v>99000</v>
      </c>
      <c r="N122" s="37">
        <v>99000</v>
      </c>
      <c r="O122">
        <v>99000</v>
      </c>
      <c r="P122">
        <v>99000</v>
      </c>
      <c r="Q122">
        <v>99000</v>
      </c>
      <c r="R122">
        <v>99000</v>
      </c>
      <c r="S122">
        <v>99000</v>
      </c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</row>
    <row r="123" spans="1:37" x14ac:dyDescent="0.15">
      <c r="A123" s="144"/>
      <c r="B123" t="s">
        <v>288</v>
      </c>
      <c r="C123">
        <v>99000</v>
      </c>
      <c r="D123">
        <v>99000</v>
      </c>
      <c r="E123">
        <v>99000</v>
      </c>
      <c r="F123">
        <v>99000</v>
      </c>
      <c r="G123">
        <v>99000</v>
      </c>
      <c r="H123">
        <v>99000</v>
      </c>
      <c r="I123">
        <v>99000</v>
      </c>
      <c r="J123" s="8">
        <v>8.0860000000000003</v>
      </c>
      <c r="K123">
        <v>99000</v>
      </c>
      <c r="L123" s="235">
        <v>0</v>
      </c>
      <c r="M123">
        <v>99000</v>
      </c>
      <c r="N123" s="37">
        <v>99000</v>
      </c>
      <c r="O123">
        <v>99000</v>
      </c>
      <c r="P123">
        <v>99000</v>
      </c>
      <c r="Q123">
        <v>99000</v>
      </c>
      <c r="R123">
        <v>99000</v>
      </c>
      <c r="S123">
        <v>99000</v>
      </c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</row>
    <row r="124" spans="1:37" x14ac:dyDescent="0.15">
      <c r="A124" s="144"/>
      <c r="B124" t="s">
        <v>289</v>
      </c>
      <c r="C124">
        <v>99000</v>
      </c>
      <c r="D124">
        <v>99000</v>
      </c>
      <c r="E124">
        <v>99000</v>
      </c>
      <c r="F124">
        <v>99000</v>
      </c>
      <c r="G124">
        <v>99000</v>
      </c>
      <c r="H124">
        <v>99000</v>
      </c>
      <c r="I124">
        <v>99000</v>
      </c>
      <c r="J124" s="8">
        <v>13.610000000000001</v>
      </c>
      <c r="K124">
        <v>99000</v>
      </c>
      <c r="L124" s="235">
        <v>0</v>
      </c>
      <c r="M124">
        <v>99000</v>
      </c>
      <c r="N124" s="37">
        <v>99000</v>
      </c>
      <c r="O124">
        <v>99000</v>
      </c>
      <c r="P124">
        <v>99000</v>
      </c>
      <c r="Q124">
        <v>99000</v>
      </c>
      <c r="R124">
        <v>99000</v>
      </c>
      <c r="S124">
        <v>99000</v>
      </c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</row>
    <row r="125" spans="1:37" x14ac:dyDescent="0.15">
      <c r="A125" s="144"/>
      <c r="B125" t="s">
        <v>306</v>
      </c>
      <c r="C125">
        <v>99000</v>
      </c>
      <c r="D125">
        <v>99000</v>
      </c>
      <c r="E125">
        <v>99000</v>
      </c>
      <c r="F125">
        <v>99000</v>
      </c>
      <c r="G125">
        <v>99000</v>
      </c>
      <c r="H125">
        <v>99000</v>
      </c>
      <c r="I125">
        <v>99000</v>
      </c>
      <c r="J125" s="8">
        <v>5.5779999999999994</v>
      </c>
      <c r="K125">
        <v>99000</v>
      </c>
      <c r="L125" s="235">
        <v>0</v>
      </c>
      <c r="M125">
        <v>99000</v>
      </c>
      <c r="N125" s="37">
        <v>99000</v>
      </c>
      <c r="O125">
        <v>99000</v>
      </c>
      <c r="P125">
        <v>99000</v>
      </c>
      <c r="Q125">
        <v>99000</v>
      </c>
      <c r="R125">
        <v>99000</v>
      </c>
      <c r="S125">
        <v>99000</v>
      </c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</row>
    <row r="126" spans="1:37" x14ac:dyDescent="0.15">
      <c r="A126" s="144"/>
      <c r="B126" t="s">
        <v>290</v>
      </c>
      <c r="C126">
        <v>99000</v>
      </c>
      <c r="D126">
        <v>99000</v>
      </c>
      <c r="E126">
        <v>99000</v>
      </c>
      <c r="F126">
        <v>99000</v>
      </c>
      <c r="G126">
        <v>99000</v>
      </c>
      <c r="H126">
        <v>99000</v>
      </c>
      <c r="I126">
        <v>99000</v>
      </c>
      <c r="J126" s="8">
        <v>0.82399999999999995</v>
      </c>
      <c r="K126">
        <v>99000</v>
      </c>
      <c r="L126" s="235">
        <v>0</v>
      </c>
      <c r="M126">
        <v>99000</v>
      </c>
      <c r="N126" s="37">
        <v>99000</v>
      </c>
      <c r="O126">
        <v>99000</v>
      </c>
      <c r="P126">
        <v>99000</v>
      </c>
      <c r="Q126">
        <v>99000</v>
      </c>
      <c r="R126">
        <v>99000</v>
      </c>
      <c r="S126">
        <v>99000</v>
      </c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</row>
    <row r="127" spans="1:37" x14ac:dyDescent="0.15">
      <c r="A127" s="144"/>
      <c r="B127" t="s">
        <v>291</v>
      </c>
      <c r="C127">
        <v>99000</v>
      </c>
      <c r="D127">
        <v>99000</v>
      </c>
      <c r="E127">
        <v>99000</v>
      </c>
      <c r="F127">
        <v>99000</v>
      </c>
      <c r="G127">
        <v>99000</v>
      </c>
      <c r="H127">
        <v>99000</v>
      </c>
      <c r="I127">
        <v>99000</v>
      </c>
      <c r="J127" s="8">
        <v>4.04</v>
      </c>
      <c r="K127">
        <v>99000</v>
      </c>
      <c r="L127" s="235">
        <v>0</v>
      </c>
      <c r="M127">
        <v>99000</v>
      </c>
      <c r="N127" s="37">
        <v>99000</v>
      </c>
      <c r="O127">
        <v>99000</v>
      </c>
      <c r="P127">
        <v>99000</v>
      </c>
      <c r="Q127">
        <v>99000</v>
      </c>
      <c r="R127">
        <v>99000</v>
      </c>
      <c r="S127">
        <v>99000</v>
      </c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</row>
    <row r="128" spans="1:37" x14ac:dyDescent="0.15">
      <c r="A128" s="144"/>
      <c r="B128" t="s">
        <v>293</v>
      </c>
      <c r="C128">
        <v>99000</v>
      </c>
      <c r="D128">
        <v>99000</v>
      </c>
      <c r="E128">
        <v>99000</v>
      </c>
      <c r="F128">
        <v>99000</v>
      </c>
      <c r="G128">
        <v>99000</v>
      </c>
      <c r="H128">
        <v>99000</v>
      </c>
      <c r="I128">
        <v>99000</v>
      </c>
      <c r="J128" s="8">
        <v>0.124</v>
      </c>
      <c r="K128">
        <v>99000</v>
      </c>
      <c r="L128" s="235">
        <v>0</v>
      </c>
      <c r="M128">
        <v>99000</v>
      </c>
      <c r="N128" s="37">
        <v>99000</v>
      </c>
      <c r="O128">
        <v>99000</v>
      </c>
      <c r="P128">
        <v>99000</v>
      </c>
      <c r="Q128">
        <v>99000</v>
      </c>
      <c r="R128">
        <v>99000</v>
      </c>
      <c r="S128">
        <v>99000</v>
      </c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</row>
    <row r="129" spans="1:37" x14ac:dyDescent="0.15">
      <c r="A129" s="144"/>
      <c r="B129" t="s">
        <v>292</v>
      </c>
      <c r="C129">
        <v>99000</v>
      </c>
      <c r="D129">
        <v>99000</v>
      </c>
      <c r="E129">
        <v>99000</v>
      </c>
      <c r="F129">
        <v>99000</v>
      </c>
      <c r="G129">
        <v>99000</v>
      </c>
      <c r="H129">
        <v>99000</v>
      </c>
      <c r="I129">
        <v>99000</v>
      </c>
      <c r="J129" s="8">
        <v>0.126</v>
      </c>
      <c r="K129">
        <v>99000</v>
      </c>
      <c r="L129" s="235">
        <v>0</v>
      </c>
      <c r="M129">
        <v>99000</v>
      </c>
      <c r="N129" s="37">
        <v>99000</v>
      </c>
      <c r="O129">
        <v>99000</v>
      </c>
      <c r="P129">
        <v>99000</v>
      </c>
      <c r="Q129">
        <v>99000</v>
      </c>
      <c r="R129">
        <v>99000</v>
      </c>
      <c r="S129">
        <v>99000</v>
      </c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</row>
    <row r="130" spans="1:37" x14ac:dyDescent="0.15">
      <c r="A130" s="144"/>
      <c r="B130" t="s">
        <v>294</v>
      </c>
      <c r="C130">
        <v>99000</v>
      </c>
      <c r="D130">
        <v>99000</v>
      </c>
      <c r="E130">
        <v>99000</v>
      </c>
      <c r="F130">
        <v>99000</v>
      </c>
      <c r="G130">
        <v>99000</v>
      </c>
      <c r="H130">
        <v>99000</v>
      </c>
      <c r="I130">
        <v>99000</v>
      </c>
      <c r="J130" s="8">
        <v>0.26200000000000001</v>
      </c>
      <c r="K130">
        <v>99000</v>
      </c>
      <c r="L130" s="235">
        <v>0</v>
      </c>
      <c r="M130">
        <v>99000</v>
      </c>
      <c r="N130" s="37">
        <v>99000</v>
      </c>
      <c r="O130">
        <v>99000</v>
      </c>
      <c r="P130">
        <v>99000</v>
      </c>
      <c r="Q130">
        <v>99000</v>
      </c>
      <c r="R130">
        <v>99000</v>
      </c>
      <c r="S130">
        <v>99000</v>
      </c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</row>
    <row r="131" spans="1:37" x14ac:dyDescent="0.15">
      <c r="A131" s="144"/>
      <c r="B131" t="s">
        <v>295</v>
      </c>
      <c r="C131">
        <v>99000</v>
      </c>
      <c r="D131">
        <v>99000</v>
      </c>
      <c r="E131">
        <v>99000</v>
      </c>
      <c r="F131">
        <v>99000</v>
      </c>
      <c r="G131">
        <v>99000</v>
      </c>
      <c r="H131">
        <v>99000</v>
      </c>
      <c r="I131">
        <v>99000</v>
      </c>
      <c r="J131" s="8">
        <v>3.3000000000000002E-2</v>
      </c>
      <c r="K131">
        <v>99000</v>
      </c>
      <c r="L131" s="235">
        <v>0</v>
      </c>
      <c r="M131">
        <v>99000</v>
      </c>
      <c r="N131" s="37">
        <v>99000</v>
      </c>
      <c r="O131">
        <v>99000</v>
      </c>
      <c r="P131">
        <v>99000</v>
      </c>
      <c r="Q131">
        <v>99000</v>
      </c>
      <c r="R131">
        <v>99000</v>
      </c>
      <c r="S131">
        <v>99000</v>
      </c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</row>
    <row r="132" spans="1:37" x14ac:dyDescent="0.15">
      <c r="A132" s="144"/>
      <c r="B132" t="s">
        <v>296</v>
      </c>
      <c r="C132">
        <v>99000</v>
      </c>
      <c r="D132">
        <v>99000</v>
      </c>
      <c r="E132">
        <v>99000</v>
      </c>
      <c r="F132">
        <v>99000</v>
      </c>
      <c r="G132">
        <v>99000</v>
      </c>
      <c r="H132">
        <v>99000</v>
      </c>
      <c r="I132">
        <v>99000</v>
      </c>
      <c r="J132">
        <v>0</v>
      </c>
      <c r="K132">
        <v>99000</v>
      </c>
      <c r="L132" s="235">
        <v>0</v>
      </c>
      <c r="M132">
        <v>99000</v>
      </c>
      <c r="N132" s="37">
        <v>99000</v>
      </c>
      <c r="O132">
        <v>99000</v>
      </c>
      <c r="P132">
        <v>99000</v>
      </c>
      <c r="Q132">
        <v>99000</v>
      </c>
      <c r="R132">
        <v>99000</v>
      </c>
      <c r="S132">
        <v>99000</v>
      </c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</row>
    <row r="133" spans="1:37" x14ac:dyDescent="0.15">
      <c r="A133" s="144"/>
      <c r="B133" t="s">
        <v>297</v>
      </c>
      <c r="C133">
        <v>99000</v>
      </c>
      <c r="D133">
        <v>99000</v>
      </c>
      <c r="E133">
        <v>99000</v>
      </c>
      <c r="F133">
        <v>99000</v>
      </c>
      <c r="G133">
        <v>99000</v>
      </c>
      <c r="H133">
        <v>99000</v>
      </c>
      <c r="I133">
        <v>99000</v>
      </c>
      <c r="J133">
        <v>14.916</v>
      </c>
      <c r="K133">
        <v>99000</v>
      </c>
      <c r="L133" s="235">
        <v>0</v>
      </c>
      <c r="M133">
        <v>99000</v>
      </c>
      <c r="N133" s="37">
        <v>99000</v>
      </c>
      <c r="O133">
        <v>99000</v>
      </c>
      <c r="P133">
        <v>99000</v>
      </c>
      <c r="Q133">
        <v>99000</v>
      </c>
      <c r="R133">
        <v>99000</v>
      </c>
      <c r="S133">
        <v>99000</v>
      </c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</row>
    <row r="134" spans="1:37" x14ac:dyDescent="0.15">
      <c r="A134" s="144"/>
      <c r="B134" t="s">
        <v>298</v>
      </c>
      <c r="C134">
        <v>99000</v>
      </c>
      <c r="D134">
        <v>99000</v>
      </c>
      <c r="E134">
        <v>99000</v>
      </c>
      <c r="F134">
        <v>99000</v>
      </c>
      <c r="G134">
        <v>99000</v>
      </c>
      <c r="H134">
        <v>99000</v>
      </c>
      <c r="I134">
        <v>99000</v>
      </c>
      <c r="J134">
        <v>1.371</v>
      </c>
      <c r="K134">
        <v>99000</v>
      </c>
      <c r="L134" s="235">
        <v>0</v>
      </c>
      <c r="M134">
        <v>99000</v>
      </c>
      <c r="N134" s="37">
        <v>99000</v>
      </c>
      <c r="O134">
        <v>99000</v>
      </c>
      <c r="P134">
        <v>99000</v>
      </c>
      <c r="Q134">
        <v>99000</v>
      </c>
      <c r="R134">
        <v>99000</v>
      </c>
      <c r="S134">
        <v>99000</v>
      </c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</row>
    <row r="135" spans="1:37" x14ac:dyDescent="0.15">
      <c r="A135" s="144"/>
      <c r="B135" t="s">
        <v>299</v>
      </c>
      <c r="C135">
        <v>99000</v>
      </c>
      <c r="D135">
        <v>99000</v>
      </c>
      <c r="E135">
        <v>99000</v>
      </c>
      <c r="F135">
        <v>99000</v>
      </c>
      <c r="G135">
        <v>99000</v>
      </c>
      <c r="H135">
        <v>99000</v>
      </c>
      <c r="I135">
        <v>99000</v>
      </c>
      <c r="J135">
        <v>0.85400000000000009</v>
      </c>
      <c r="K135">
        <v>99000</v>
      </c>
      <c r="L135" s="235">
        <v>0</v>
      </c>
      <c r="M135">
        <v>99000</v>
      </c>
      <c r="N135" s="37">
        <v>99000</v>
      </c>
      <c r="O135">
        <v>99000</v>
      </c>
      <c r="P135">
        <v>99000</v>
      </c>
      <c r="Q135">
        <v>99000</v>
      </c>
      <c r="R135">
        <v>99000</v>
      </c>
      <c r="S135">
        <v>99000</v>
      </c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</row>
    <row r="136" spans="1:37" x14ac:dyDescent="0.15">
      <c r="A136" s="144"/>
      <c r="B136" s="16" t="s">
        <v>311</v>
      </c>
      <c r="C136" s="16">
        <v>99000</v>
      </c>
      <c r="D136" s="16">
        <v>99000</v>
      </c>
      <c r="E136" s="16">
        <v>99000</v>
      </c>
      <c r="F136" s="16">
        <v>99000</v>
      </c>
      <c r="G136" s="16">
        <v>99000</v>
      </c>
      <c r="H136" s="16">
        <v>99000</v>
      </c>
      <c r="I136" s="16">
        <v>99000</v>
      </c>
      <c r="J136" s="16">
        <v>7.3709999999999996</v>
      </c>
      <c r="K136" s="16">
        <v>99000</v>
      </c>
      <c r="L136" s="236">
        <v>6</v>
      </c>
      <c r="M136" s="16">
        <v>99000</v>
      </c>
      <c r="N136" s="37">
        <v>99000</v>
      </c>
      <c r="O136" s="16">
        <v>99000</v>
      </c>
      <c r="P136" s="16">
        <v>99000</v>
      </c>
      <c r="Q136" s="16">
        <v>99000</v>
      </c>
      <c r="R136" s="16">
        <v>99000</v>
      </c>
      <c r="S136" s="16">
        <v>99000</v>
      </c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</row>
    <row r="137" spans="1:37" s="37" customFormat="1" x14ac:dyDescent="0.15">
      <c r="A137" s="58" t="s">
        <v>325</v>
      </c>
      <c r="B137" s="37" t="s">
        <v>93</v>
      </c>
      <c r="C137">
        <v>2.5910000000000002</v>
      </c>
      <c r="D137">
        <v>0</v>
      </c>
      <c r="E137">
        <v>0</v>
      </c>
      <c r="F137">
        <v>1.2090000000000001</v>
      </c>
      <c r="G137">
        <v>0</v>
      </c>
      <c r="H137" s="8">
        <v>0</v>
      </c>
      <c r="I137">
        <v>0</v>
      </c>
      <c r="J137">
        <v>0.90700000000000003</v>
      </c>
      <c r="K137">
        <v>0.432</v>
      </c>
      <c r="L137">
        <v>0</v>
      </c>
      <c r="M137">
        <v>0</v>
      </c>
      <c r="N137" s="37">
        <v>1.6839999999999999</v>
      </c>
      <c r="O137">
        <v>0</v>
      </c>
      <c r="P137">
        <v>0</v>
      </c>
      <c r="Q137">
        <v>0.80599999999999994</v>
      </c>
      <c r="R137">
        <v>0.80599999999999994</v>
      </c>
      <c r="S137">
        <v>0.80599999999999994</v>
      </c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</row>
    <row r="138" spans="1:37" s="37" customFormat="1" x14ac:dyDescent="0.15">
      <c r="A138" s="58"/>
      <c r="B138" s="37" t="s">
        <v>92</v>
      </c>
      <c r="C138">
        <v>0</v>
      </c>
      <c r="D138">
        <v>1</v>
      </c>
      <c r="E138">
        <v>0</v>
      </c>
      <c r="F138">
        <v>0.75</v>
      </c>
      <c r="G138">
        <v>0</v>
      </c>
      <c r="H138" s="8">
        <v>0</v>
      </c>
      <c r="I138">
        <v>0</v>
      </c>
      <c r="J138">
        <v>0</v>
      </c>
      <c r="K138">
        <v>0.75</v>
      </c>
      <c r="L138">
        <v>5</v>
      </c>
      <c r="M138">
        <v>0</v>
      </c>
      <c r="N138" s="37">
        <v>0</v>
      </c>
      <c r="O138">
        <v>0</v>
      </c>
      <c r="P138">
        <v>0</v>
      </c>
      <c r="Q138">
        <v>0</v>
      </c>
      <c r="R138">
        <v>0</v>
      </c>
      <c r="S138">
        <v>0</v>
      </c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</row>
    <row r="139" spans="1:37" s="37" customFormat="1" x14ac:dyDescent="0.15">
      <c r="A139" s="58"/>
      <c r="B139" s="37" t="s">
        <v>91</v>
      </c>
      <c r="C139">
        <v>0</v>
      </c>
      <c r="D139">
        <v>0.75</v>
      </c>
      <c r="E139">
        <v>0</v>
      </c>
      <c r="F139">
        <v>0.375</v>
      </c>
      <c r="G139">
        <v>0</v>
      </c>
      <c r="H139" s="8">
        <v>0</v>
      </c>
      <c r="I139">
        <v>0</v>
      </c>
      <c r="J139">
        <v>0</v>
      </c>
      <c r="K139">
        <v>0.375</v>
      </c>
      <c r="L139">
        <v>0</v>
      </c>
      <c r="M139">
        <v>0</v>
      </c>
      <c r="N139" s="37">
        <v>0</v>
      </c>
      <c r="O139">
        <v>0</v>
      </c>
      <c r="P139">
        <v>0</v>
      </c>
      <c r="Q139">
        <v>0</v>
      </c>
      <c r="R139">
        <v>0</v>
      </c>
      <c r="S139">
        <v>0</v>
      </c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</row>
    <row r="140" spans="1:37" s="37" customFormat="1" x14ac:dyDescent="0.15">
      <c r="A140" s="58"/>
      <c r="B140" s="37" t="s">
        <v>90</v>
      </c>
      <c r="C140">
        <v>0</v>
      </c>
      <c r="D140">
        <v>5.25</v>
      </c>
      <c r="E140">
        <v>0</v>
      </c>
      <c r="F140">
        <v>0.25</v>
      </c>
      <c r="G140">
        <v>0</v>
      </c>
      <c r="H140" s="8">
        <v>0</v>
      </c>
      <c r="I140">
        <v>0</v>
      </c>
      <c r="J140">
        <v>0</v>
      </c>
      <c r="K140">
        <v>0.25</v>
      </c>
      <c r="L140">
        <v>0</v>
      </c>
      <c r="M140">
        <v>0</v>
      </c>
      <c r="N140" s="37">
        <v>0</v>
      </c>
      <c r="O140">
        <v>0</v>
      </c>
      <c r="P140">
        <v>0</v>
      </c>
      <c r="Q140">
        <v>0</v>
      </c>
      <c r="R140">
        <v>0</v>
      </c>
      <c r="S140">
        <v>0</v>
      </c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</row>
    <row r="141" spans="1:37" s="37" customFormat="1" x14ac:dyDescent="0.15">
      <c r="A141" s="58"/>
      <c r="B141" s="37" t="s">
        <v>89</v>
      </c>
      <c r="C141">
        <v>1.681</v>
      </c>
      <c r="D141">
        <v>0</v>
      </c>
      <c r="E141">
        <v>0</v>
      </c>
      <c r="F141">
        <v>3.8370000000000002</v>
      </c>
      <c r="G141">
        <v>0</v>
      </c>
      <c r="H141" s="8">
        <v>0</v>
      </c>
      <c r="I141">
        <v>0</v>
      </c>
      <c r="J141">
        <v>0.58799999999999997</v>
      </c>
      <c r="K141">
        <v>1.6139999999999999</v>
      </c>
      <c r="L141">
        <v>0</v>
      </c>
      <c r="M141">
        <v>0</v>
      </c>
      <c r="N141" s="37">
        <v>1.093</v>
      </c>
      <c r="O141">
        <v>0</v>
      </c>
      <c r="P141">
        <v>0</v>
      </c>
      <c r="Q141">
        <v>2.5333333333333333E-2</v>
      </c>
      <c r="R141">
        <v>2.5333333333333333E-2</v>
      </c>
      <c r="S141">
        <v>2.5333333333333333E-2</v>
      </c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</row>
    <row r="142" spans="1:37" s="37" customFormat="1" x14ac:dyDescent="0.15">
      <c r="A142" s="58"/>
      <c r="B142" s="37" t="s">
        <v>88</v>
      </c>
      <c r="C142">
        <v>0</v>
      </c>
      <c r="D142">
        <v>0.5</v>
      </c>
      <c r="E142">
        <v>0</v>
      </c>
      <c r="F142">
        <v>0.29500000000000004</v>
      </c>
      <c r="G142">
        <v>0</v>
      </c>
      <c r="H142" s="8">
        <v>0</v>
      </c>
      <c r="I142">
        <v>0</v>
      </c>
      <c r="J142">
        <v>0</v>
      </c>
      <c r="K142">
        <v>0.125</v>
      </c>
      <c r="L142">
        <v>0</v>
      </c>
      <c r="M142">
        <v>0</v>
      </c>
      <c r="N142" s="37">
        <v>0</v>
      </c>
      <c r="O142">
        <v>0</v>
      </c>
      <c r="P142">
        <v>0</v>
      </c>
      <c r="Q142">
        <v>0</v>
      </c>
      <c r="R142">
        <v>0</v>
      </c>
      <c r="S142">
        <v>0</v>
      </c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</row>
    <row r="143" spans="1:37" s="37" customFormat="1" x14ac:dyDescent="0.15">
      <c r="A143" s="58"/>
      <c r="B143" s="37" t="s">
        <v>303</v>
      </c>
      <c r="C143">
        <v>3.1850000000000001</v>
      </c>
      <c r="D143">
        <v>0</v>
      </c>
      <c r="E143">
        <v>0</v>
      </c>
      <c r="F143">
        <v>0</v>
      </c>
      <c r="G143">
        <v>0</v>
      </c>
      <c r="H143" s="8">
        <v>0</v>
      </c>
      <c r="I143">
        <v>0.59599999999999997</v>
      </c>
      <c r="J143">
        <v>0.502</v>
      </c>
      <c r="K143">
        <v>9.1999999999999998E-2</v>
      </c>
      <c r="L143">
        <v>39.637999999999998</v>
      </c>
      <c r="M143">
        <v>0</v>
      </c>
      <c r="N143" s="37">
        <v>0</v>
      </c>
      <c r="O143">
        <v>2.6830000000000003</v>
      </c>
      <c r="P143">
        <v>0</v>
      </c>
      <c r="Q143">
        <v>5.333333333333333E-2</v>
      </c>
      <c r="R143">
        <v>5.333333333333333E-2</v>
      </c>
      <c r="S143">
        <v>5.333333333333333E-2</v>
      </c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</row>
    <row r="144" spans="1:37" s="37" customFormat="1" x14ac:dyDescent="0.15">
      <c r="A144" s="58"/>
      <c r="B144" s="37" t="s">
        <v>86</v>
      </c>
      <c r="C144">
        <v>46.663000000000004</v>
      </c>
      <c r="D144">
        <v>0</v>
      </c>
      <c r="E144">
        <v>0</v>
      </c>
      <c r="F144">
        <v>9.3349999999999991</v>
      </c>
      <c r="G144">
        <v>0</v>
      </c>
      <c r="H144" s="8">
        <v>0</v>
      </c>
      <c r="I144">
        <v>10.283000000000001</v>
      </c>
      <c r="J144">
        <v>8.7080000000000002</v>
      </c>
      <c r="K144">
        <v>4.5199999999999996</v>
      </c>
      <c r="L144">
        <v>34.933</v>
      </c>
      <c r="M144">
        <v>0</v>
      </c>
      <c r="N144" s="37">
        <v>18.37</v>
      </c>
      <c r="O144">
        <v>12.829000000000001</v>
      </c>
      <c r="P144">
        <v>0</v>
      </c>
      <c r="Q144">
        <v>13.506666666666668</v>
      </c>
      <c r="R144">
        <v>13.506666666666668</v>
      </c>
      <c r="S144">
        <v>13.506666666666668</v>
      </c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</row>
    <row r="145" spans="1:37" s="37" customFormat="1" x14ac:dyDescent="0.15">
      <c r="A145" s="58"/>
      <c r="B145" s="37" t="s">
        <v>85</v>
      </c>
      <c r="C145">
        <v>8.947000000000001</v>
      </c>
      <c r="D145">
        <v>0</v>
      </c>
      <c r="E145">
        <v>0</v>
      </c>
      <c r="F145">
        <v>2.895</v>
      </c>
      <c r="G145">
        <v>0.47600000000000003</v>
      </c>
      <c r="H145" s="8">
        <v>0</v>
      </c>
      <c r="I145">
        <v>0</v>
      </c>
      <c r="J145">
        <v>3.1150000000000002</v>
      </c>
      <c r="K145">
        <v>2.1470000000000002</v>
      </c>
      <c r="L145">
        <v>0</v>
      </c>
      <c r="M145">
        <v>0</v>
      </c>
      <c r="N145" s="37">
        <v>6.0670000000000002</v>
      </c>
      <c r="O145">
        <v>0</v>
      </c>
      <c r="P145">
        <v>0</v>
      </c>
      <c r="Q145">
        <v>0.58833333333333337</v>
      </c>
      <c r="R145">
        <v>0.58833333333333337</v>
      </c>
      <c r="S145">
        <v>0.58833333333333337</v>
      </c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</row>
    <row r="146" spans="1:37" s="37" customFormat="1" x14ac:dyDescent="0.15">
      <c r="A146" s="58"/>
      <c r="B146" s="37" t="s">
        <v>84</v>
      </c>
      <c r="C146">
        <v>6.8500000000000005</v>
      </c>
      <c r="D146">
        <v>0</v>
      </c>
      <c r="E146">
        <v>0</v>
      </c>
      <c r="F146">
        <v>1.849</v>
      </c>
      <c r="G146">
        <v>0</v>
      </c>
      <c r="H146" s="8">
        <v>0</v>
      </c>
      <c r="I146">
        <v>2.8620000000000001</v>
      </c>
      <c r="J146">
        <v>1.1850000000000001</v>
      </c>
      <c r="K146">
        <v>1.3159999999999998</v>
      </c>
      <c r="L146">
        <v>4.5229999999999997</v>
      </c>
      <c r="M146">
        <v>0</v>
      </c>
      <c r="N146" s="37">
        <v>1.8339999999999999</v>
      </c>
      <c r="O146">
        <v>1.661</v>
      </c>
      <c r="P146">
        <v>0</v>
      </c>
      <c r="Q146">
        <v>1.6106666666666667</v>
      </c>
      <c r="R146">
        <v>1.6106666666666667</v>
      </c>
      <c r="S146">
        <v>1.6106666666666667</v>
      </c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</row>
    <row r="147" spans="1:37" s="37" customFormat="1" x14ac:dyDescent="0.15">
      <c r="A147" s="58"/>
      <c r="B147" s="37" t="s">
        <v>131</v>
      </c>
      <c r="C147">
        <v>0</v>
      </c>
      <c r="D147">
        <v>19.617999999999999</v>
      </c>
      <c r="E147">
        <v>2.3080000000000003</v>
      </c>
      <c r="F147">
        <v>1.1540000000000001</v>
      </c>
      <c r="G147">
        <v>0</v>
      </c>
      <c r="H147" s="8">
        <v>0</v>
      </c>
      <c r="I147">
        <v>0.12000000000000001</v>
      </c>
      <c r="J147">
        <v>0</v>
      </c>
      <c r="K147">
        <v>0</v>
      </c>
      <c r="L147">
        <v>0</v>
      </c>
      <c r="M147">
        <v>19.617999999999999</v>
      </c>
      <c r="N147" s="37">
        <v>1.1540000000000001</v>
      </c>
      <c r="O147">
        <v>0.41599999999999998</v>
      </c>
      <c r="P147">
        <v>0.184</v>
      </c>
      <c r="Q147">
        <v>0.18466666666666667</v>
      </c>
      <c r="R147">
        <v>0.18466666666666667</v>
      </c>
      <c r="S147">
        <v>0.18466666666666667</v>
      </c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</row>
    <row r="148" spans="1:37" s="37" customFormat="1" x14ac:dyDescent="0.15">
      <c r="A148" s="58"/>
      <c r="B148" s="37" t="s">
        <v>132</v>
      </c>
      <c r="C148">
        <v>0</v>
      </c>
      <c r="D148">
        <v>4.3380000000000001</v>
      </c>
      <c r="E148">
        <v>7.18</v>
      </c>
      <c r="F148">
        <v>2.101</v>
      </c>
      <c r="G148">
        <v>0.94200000000000006</v>
      </c>
      <c r="H148" s="8">
        <v>0</v>
      </c>
      <c r="I148">
        <v>2</v>
      </c>
      <c r="J148">
        <v>0</v>
      </c>
      <c r="K148">
        <v>0</v>
      </c>
      <c r="L148">
        <v>6</v>
      </c>
      <c r="M148">
        <v>4.2750000000000004</v>
      </c>
      <c r="N148" s="37">
        <v>4.056</v>
      </c>
      <c r="O148">
        <v>1.4450000000000001</v>
      </c>
      <c r="P148">
        <v>0.64899999999999991</v>
      </c>
      <c r="Q148">
        <v>1.238</v>
      </c>
      <c r="R148">
        <v>1.238</v>
      </c>
      <c r="S148">
        <v>1.238</v>
      </c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</row>
    <row r="149" spans="1:37" s="37" customFormat="1" x14ac:dyDescent="0.15">
      <c r="A149" s="58"/>
      <c r="B149" s="37" t="s">
        <v>83</v>
      </c>
      <c r="C149">
        <v>11</v>
      </c>
      <c r="D149">
        <v>0</v>
      </c>
      <c r="E149">
        <v>0.17</v>
      </c>
      <c r="F149">
        <v>4.2</v>
      </c>
      <c r="G149">
        <v>4.1370000000000005</v>
      </c>
      <c r="H149" s="8">
        <v>0</v>
      </c>
      <c r="I149">
        <v>3.0000000000000001E-3</v>
      </c>
      <c r="J149">
        <v>0</v>
      </c>
      <c r="K149">
        <v>5.8999999999999997E-2</v>
      </c>
      <c r="L149">
        <v>0</v>
      </c>
      <c r="M149">
        <v>0</v>
      </c>
      <c r="N149" s="37">
        <v>7.6539999999999999</v>
      </c>
      <c r="O149">
        <v>2.7269999999999999</v>
      </c>
      <c r="P149">
        <v>1.2249999999999999</v>
      </c>
      <c r="Q149">
        <v>1.3860000000000001</v>
      </c>
      <c r="R149">
        <v>1.3860000000000001</v>
      </c>
      <c r="S149">
        <v>1.3860000000000001</v>
      </c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</row>
    <row r="150" spans="1:37" s="37" customFormat="1" x14ac:dyDescent="0.15">
      <c r="A150" s="58"/>
      <c r="B150" s="37" t="s">
        <v>82</v>
      </c>
      <c r="C150">
        <v>0</v>
      </c>
      <c r="D150">
        <v>22.055000000000003</v>
      </c>
      <c r="E150">
        <v>0</v>
      </c>
      <c r="F150">
        <v>0.66600000000000004</v>
      </c>
      <c r="G150">
        <v>0</v>
      </c>
      <c r="H150" s="8">
        <v>0</v>
      </c>
      <c r="I150">
        <v>0</v>
      </c>
      <c r="J150">
        <v>0</v>
      </c>
      <c r="K150">
        <v>0.66600000000000004</v>
      </c>
      <c r="L150">
        <v>60.665999999999997</v>
      </c>
      <c r="M150">
        <v>22.055000000000003</v>
      </c>
      <c r="N150" s="37">
        <v>0</v>
      </c>
      <c r="O150">
        <v>0</v>
      </c>
      <c r="P150">
        <v>0</v>
      </c>
      <c r="Q150">
        <v>0</v>
      </c>
      <c r="R150">
        <v>0</v>
      </c>
      <c r="S150">
        <v>0</v>
      </c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</row>
    <row r="151" spans="1:37" s="37" customFormat="1" x14ac:dyDescent="0.15">
      <c r="A151" s="58"/>
      <c r="B151" s="37" t="s">
        <v>272</v>
      </c>
      <c r="C151">
        <v>5</v>
      </c>
      <c r="D151">
        <v>0</v>
      </c>
      <c r="E151">
        <v>5</v>
      </c>
      <c r="F151">
        <v>1.5</v>
      </c>
      <c r="G151">
        <v>0</v>
      </c>
      <c r="H151" s="8">
        <v>0</v>
      </c>
      <c r="I151">
        <v>0</v>
      </c>
      <c r="J151">
        <v>0</v>
      </c>
      <c r="K151">
        <v>3</v>
      </c>
      <c r="L151">
        <v>0</v>
      </c>
      <c r="M151">
        <v>0</v>
      </c>
      <c r="N151" s="37">
        <v>0</v>
      </c>
      <c r="O151">
        <v>2</v>
      </c>
      <c r="P151">
        <v>2.2999999999999998</v>
      </c>
      <c r="Q151">
        <v>0</v>
      </c>
      <c r="R151">
        <v>0</v>
      </c>
      <c r="S151">
        <v>0</v>
      </c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</row>
    <row r="152" spans="1:37" s="37" customFormat="1" x14ac:dyDescent="0.15">
      <c r="A152" s="58"/>
      <c r="B152" s="37" t="s">
        <v>273</v>
      </c>
      <c r="C152">
        <v>0</v>
      </c>
      <c r="D152">
        <v>5.694</v>
      </c>
      <c r="E152">
        <v>14.161</v>
      </c>
      <c r="F152">
        <v>0</v>
      </c>
      <c r="G152">
        <v>0</v>
      </c>
      <c r="H152" s="8">
        <v>0</v>
      </c>
      <c r="I152">
        <v>2</v>
      </c>
      <c r="J152">
        <v>0</v>
      </c>
      <c r="K152">
        <v>0</v>
      </c>
      <c r="L152">
        <v>24.87</v>
      </c>
      <c r="M152">
        <v>5.694</v>
      </c>
      <c r="N152" s="37">
        <v>8.66</v>
      </c>
      <c r="O152">
        <v>4.1399999999999997</v>
      </c>
      <c r="P152">
        <v>0.89200000000000002</v>
      </c>
      <c r="Q152">
        <v>2.7226666666666666</v>
      </c>
      <c r="R152">
        <v>2.7226666666666666</v>
      </c>
      <c r="S152">
        <v>2.7226666666666666</v>
      </c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</row>
    <row r="153" spans="1:37" s="37" customFormat="1" x14ac:dyDescent="0.15">
      <c r="A153" s="58"/>
      <c r="B153" s="37" t="s">
        <v>274</v>
      </c>
      <c r="C153">
        <v>9.8949999999999996</v>
      </c>
      <c r="D153">
        <v>0</v>
      </c>
      <c r="E153">
        <v>0</v>
      </c>
      <c r="F153">
        <v>0.12000000000000001</v>
      </c>
      <c r="G153">
        <v>0</v>
      </c>
      <c r="H153" s="8">
        <v>0</v>
      </c>
      <c r="I153">
        <v>0</v>
      </c>
      <c r="J153">
        <v>0</v>
      </c>
      <c r="K153">
        <v>0.16200000000000001</v>
      </c>
      <c r="L153">
        <v>0</v>
      </c>
      <c r="M153">
        <v>0</v>
      </c>
      <c r="N153" s="37">
        <v>0</v>
      </c>
      <c r="O153">
        <v>9.8949999999999996</v>
      </c>
      <c r="P153">
        <v>0</v>
      </c>
      <c r="Q153">
        <v>0</v>
      </c>
      <c r="R153">
        <v>0</v>
      </c>
      <c r="S153">
        <v>0</v>
      </c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</row>
    <row r="154" spans="1:37" s="37" customFormat="1" x14ac:dyDescent="0.15">
      <c r="A154" s="58"/>
      <c r="B154" s="37" t="s">
        <v>275</v>
      </c>
      <c r="C154">
        <v>11.464</v>
      </c>
      <c r="D154">
        <v>0</v>
      </c>
      <c r="E154">
        <v>0</v>
      </c>
      <c r="F154">
        <v>1.9120000000000001</v>
      </c>
      <c r="G154">
        <v>0</v>
      </c>
      <c r="H154" s="8">
        <v>0</v>
      </c>
      <c r="I154">
        <v>2.387</v>
      </c>
      <c r="J154">
        <v>1.8339999999999999</v>
      </c>
      <c r="K154">
        <v>0.95499999999999996</v>
      </c>
      <c r="L154">
        <v>8.1169999999999991</v>
      </c>
      <c r="M154">
        <v>0</v>
      </c>
      <c r="N154" s="37">
        <v>2.7520000000000002</v>
      </c>
      <c r="O154">
        <v>1.7282184105202973</v>
      </c>
      <c r="P154">
        <v>0</v>
      </c>
      <c r="Q154">
        <v>2.73</v>
      </c>
      <c r="R154">
        <v>2.73</v>
      </c>
      <c r="S154">
        <v>2.73</v>
      </c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  <c r="AJ154" s="235"/>
      <c r="AK154" s="235"/>
    </row>
    <row r="155" spans="1:37" s="37" customFormat="1" x14ac:dyDescent="0.15">
      <c r="A155" s="58"/>
      <c r="B155" s="37" t="s">
        <v>309</v>
      </c>
      <c r="C155">
        <v>6.3160000000000007</v>
      </c>
      <c r="D155">
        <v>0</v>
      </c>
      <c r="E155">
        <v>0</v>
      </c>
      <c r="F155">
        <v>1.0529999999999999</v>
      </c>
      <c r="G155">
        <v>0</v>
      </c>
      <c r="H155" s="8">
        <v>0</v>
      </c>
      <c r="I155">
        <v>1.3159999999999998</v>
      </c>
      <c r="J155">
        <v>1.0109999999999999</v>
      </c>
      <c r="K155">
        <v>0.52600000000000002</v>
      </c>
      <c r="L155">
        <v>4.4720000000000004</v>
      </c>
      <c r="M155">
        <v>0</v>
      </c>
      <c r="N155" s="37">
        <v>1.516</v>
      </c>
      <c r="O155">
        <v>0.92378158947970268</v>
      </c>
      <c r="P155">
        <v>0</v>
      </c>
      <c r="Q155">
        <v>1.5926666666666665</v>
      </c>
      <c r="R155">
        <v>1.5926666666666665</v>
      </c>
      <c r="S155">
        <v>1.5926666666666665</v>
      </c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</row>
    <row r="156" spans="1:37" s="37" customFormat="1" x14ac:dyDescent="0.15">
      <c r="A156" s="58"/>
      <c r="B156" s="1" t="s">
        <v>283</v>
      </c>
      <c r="C156">
        <v>0</v>
      </c>
      <c r="D156">
        <v>0</v>
      </c>
      <c r="E156">
        <v>0</v>
      </c>
      <c r="F156">
        <v>0</v>
      </c>
      <c r="G156">
        <v>0</v>
      </c>
      <c r="H156" s="8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</row>
    <row r="157" spans="1:37" s="37" customFormat="1" x14ac:dyDescent="0.15">
      <c r="A157" s="58"/>
      <c r="B157" s="1" t="s">
        <v>284</v>
      </c>
      <c r="C157">
        <v>0</v>
      </c>
      <c r="D157">
        <v>0</v>
      </c>
      <c r="E157">
        <v>0</v>
      </c>
      <c r="F157">
        <v>0</v>
      </c>
      <c r="G157">
        <v>0</v>
      </c>
      <c r="H157" s="8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</row>
    <row r="158" spans="1:37" s="37" customFormat="1" x14ac:dyDescent="0.15">
      <c r="A158" s="58"/>
      <c r="B158" t="s">
        <v>285</v>
      </c>
      <c r="C158">
        <v>0</v>
      </c>
      <c r="D158">
        <v>0</v>
      </c>
      <c r="E158">
        <v>0</v>
      </c>
      <c r="F158">
        <v>0</v>
      </c>
      <c r="G158">
        <v>0</v>
      </c>
      <c r="H158" s="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</row>
    <row r="159" spans="1:37" s="37" customFormat="1" x14ac:dyDescent="0.15">
      <c r="A159" s="58"/>
      <c r="B159" t="s">
        <v>286</v>
      </c>
      <c r="C159">
        <v>0</v>
      </c>
      <c r="D159">
        <v>0</v>
      </c>
      <c r="E159">
        <v>0</v>
      </c>
      <c r="F159">
        <v>0</v>
      </c>
      <c r="G159">
        <v>0</v>
      </c>
      <c r="H159" s="8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</row>
    <row r="160" spans="1:37" s="37" customFormat="1" x14ac:dyDescent="0.15">
      <c r="A160" s="58"/>
      <c r="B160" t="s">
        <v>287</v>
      </c>
      <c r="C160">
        <v>0</v>
      </c>
      <c r="D160">
        <v>0</v>
      </c>
      <c r="E160">
        <v>0</v>
      </c>
      <c r="F160">
        <v>0</v>
      </c>
      <c r="G160">
        <v>0</v>
      </c>
      <c r="H160" s="8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</row>
    <row r="161" spans="1:37" s="37" customFormat="1" x14ac:dyDescent="0.15">
      <c r="A161" s="58"/>
      <c r="B161" t="s">
        <v>288</v>
      </c>
      <c r="C161">
        <v>0</v>
      </c>
      <c r="D161">
        <v>0</v>
      </c>
      <c r="E161">
        <v>0</v>
      </c>
      <c r="F161">
        <v>0</v>
      </c>
      <c r="G161">
        <v>0</v>
      </c>
      <c r="H161" s="8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5"/>
    </row>
    <row r="162" spans="1:37" s="37" customFormat="1" x14ac:dyDescent="0.15">
      <c r="A162" s="58"/>
      <c r="B162" t="s">
        <v>289</v>
      </c>
      <c r="C162">
        <v>0</v>
      </c>
      <c r="D162">
        <v>0</v>
      </c>
      <c r="E162">
        <v>0</v>
      </c>
      <c r="F162">
        <v>0</v>
      </c>
      <c r="G162">
        <v>0</v>
      </c>
      <c r="H162" s="8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</row>
    <row r="163" spans="1:37" s="37" customFormat="1" x14ac:dyDescent="0.15">
      <c r="A163" s="58"/>
      <c r="B163" t="s">
        <v>306</v>
      </c>
      <c r="C163">
        <v>0</v>
      </c>
      <c r="D163">
        <v>0</v>
      </c>
      <c r="E163">
        <v>0</v>
      </c>
      <c r="F163">
        <v>0</v>
      </c>
      <c r="G163">
        <v>0</v>
      </c>
      <c r="H163" s="8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5"/>
    </row>
    <row r="164" spans="1:37" s="37" customFormat="1" x14ac:dyDescent="0.15">
      <c r="A164" s="58"/>
      <c r="B164" t="s">
        <v>290</v>
      </c>
      <c r="C164">
        <v>0</v>
      </c>
      <c r="D164">
        <v>0</v>
      </c>
      <c r="E164">
        <v>0</v>
      </c>
      <c r="F164">
        <v>0</v>
      </c>
      <c r="G164">
        <v>0</v>
      </c>
      <c r="H164" s="8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</row>
    <row r="165" spans="1:37" s="37" customFormat="1" x14ac:dyDescent="0.15">
      <c r="A165" s="58"/>
      <c r="B165" t="s">
        <v>291</v>
      </c>
      <c r="C165">
        <v>0</v>
      </c>
      <c r="D165">
        <v>0</v>
      </c>
      <c r="E165">
        <v>0</v>
      </c>
      <c r="F165">
        <v>0</v>
      </c>
      <c r="G165">
        <v>0</v>
      </c>
      <c r="H165" s="8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</row>
    <row r="166" spans="1:37" s="37" customFormat="1" x14ac:dyDescent="0.15">
      <c r="A166" s="58"/>
      <c r="B166" t="s">
        <v>293</v>
      </c>
      <c r="C166">
        <v>0</v>
      </c>
      <c r="D166">
        <v>0</v>
      </c>
      <c r="E166">
        <v>0</v>
      </c>
      <c r="F166">
        <v>0</v>
      </c>
      <c r="G166">
        <v>0</v>
      </c>
      <c r="H166" s="8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</row>
    <row r="167" spans="1:37" s="37" customFormat="1" x14ac:dyDescent="0.15">
      <c r="A167" s="58"/>
      <c r="B167" t="s">
        <v>292</v>
      </c>
      <c r="C167">
        <v>0</v>
      </c>
      <c r="D167">
        <v>0</v>
      </c>
      <c r="E167">
        <v>0</v>
      </c>
      <c r="F167">
        <v>0</v>
      </c>
      <c r="G167">
        <v>0</v>
      </c>
      <c r="H167" s="8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</row>
    <row r="168" spans="1:37" s="37" customFormat="1" x14ac:dyDescent="0.15">
      <c r="A168" s="58"/>
      <c r="B168" t="s">
        <v>294</v>
      </c>
      <c r="C168">
        <v>0</v>
      </c>
      <c r="D168">
        <v>0</v>
      </c>
      <c r="E168">
        <v>0</v>
      </c>
      <c r="F168">
        <v>0</v>
      </c>
      <c r="G168">
        <v>0</v>
      </c>
      <c r="H168" s="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235"/>
      <c r="AI168" s="235"/>
      <c r="AJ168" s="235"/>
      <c r="AK168" s="235"/>
    </row>
    <row r="169" spans="1:37" s="37" customFormat="1" x14ac:dyDescent="0.15">
      <c r="A169" s="58"/>
      <c r="B169" t="s">
        <v>295</v>
      </c>
      <c r="C169">
        <v>0</v>
      </c>
      <c r="D169">
        <v>0</v>
      </c>
      <c r="E169">
        <v>0</v>
      </c>
      <c r="F169">
        <v>0</v>
      </c>
      <c r="G169">
        <v>0</v>
      </c>
      <c r="H169" s="8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35"/>
      <c r="AI169" s="235"/>
      <c r="AJ169" s="235"/>
      <c r="AK169" s="235"/>
    </row>
    <row r="170" spans="1:37" s="37" customFormat="1" x14ac:dyDescent="0.15">
      <c r="A170" s="58"/>
      <c r="B170" t="s">
        <v>296</v>
      </c>
      <c r="C170">
        <v>0</v>
      </c>
      <c r="D170">
        <v>0</v>
      </c>
      <c r="E170">
        <v>0</v>
      </c>
      <c r="F170">
        <v>0</v>
      </c>
      <c r="G170">
        <v>0</v>
      </c>
      <c r="H170" s="8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</row>
    <row r="171" spans="1:37" s="37" customFormat="1" x14ac:dyDescent="0.15">
      <c r="A171" s="122"/>
      <c r="B171" t="s">
        <v>297</v>
      </c>
      <c r="C171">
        <v>0</v>
      </c>
      <c r="D171">
        <v>0</v>
      </c>
      <c r="E171">
        <v>0</v>
      </c>
      <c r="F171">
        <v>0</v>
      </c>
      <c r="G171">
        <v>0</v>
      </c>
      <c r="H171" s="8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</row>
    <row r="172" spans="1:37" s="37" customFormat="1" x14ac:dyDescent="0.15">
      <c r="A172" s="122"/>
      <c r="B172" t="s">
        <v>298</v>
      </c>
      <c r="C172">
        <v>0</v>
      </c>
      <c r="D172">
        <v>0</v>
      </c>
      <c r="E172">
        <v>0</v>
      </c>
      <c r="F172">
        <v>0</v>
      </c>
      <c r="G172">
        <v>0</v>
      </c>
      <c r="H172" s="8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</row>
    <row r="173" spans="1:37" s="37" customFormat="1" x14ac:dyDescent="0.15">
      <c r="A173" s="122"/>
      <c r="B173" t="s">
        <v>299</v>
      </c>
      <c r="C173">
        <v>0</v>
      </c>
      <c r="D173">
        <v>0</v>
      </c>
      <c r="E173">
        <v>0</v>
      </c>
      <c r="F173">
        <v>0</v>
      </c>
      <c r="G173">
        <v>0</v>
      </c>
      <c r="H173" s="8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</row>
    <row r="174" spans="1:37" s="37" customFormat="1" x14ac:dyDescent="0.15">
      <c r="A174" s="120"/>
      <c r="B174" s="16" t="s">
        <v>311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37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</row>
    <row r="175" spans="1:37" s="37" customFormat="1" x14ac:dyDescent="0.15">
      <c r="A175" s="59" t="s">
        <v>326</v>
      </c>
      <c r="B175" s="37" t="s">
        <v>93</v>
      </c>
      <c r="C175" s="37">
        <v>0.13600000000000001</v>
      </c>
      <c r="D175" s="37">
        <v>0</v>
      </c>
      <c r="E175" s="37">
        <v>0</v>
      </c>
      <c r="F175" s="37">
        <v>6.4000000000000001E-2</v>
      </c>
      <c r="G175" s="37">
        <v>0</v>
      </c>
      <c r="H175" s="8">
        <v>0</v>
      </c>
      <c r="I175" s="37">
        <v>0</v>
      </c>
      <c r="J175" s="37">
        <v>4.8000000000000001E-2</v>
      </c>
      <c r="K175" s="37">
        <v>2.3E-2</v>
      </c>
      <c r="L175" s="37">
        <v>0</v>
      </c>
      <c r="M175" s="37">
        <v>0</v>
      </c>
      <c r="N175" s="37">
        <v>8.7999999999999995E-2</v>
      </c>
      <c r="O175" s="37">
        <v>0</v>
      </c>
      <c r="P175" s="37">
        <v>0</v>
      </c>
      <c r="Q175" s="37">
        <v>4.2333333333333334E-2</v>
      </c>
      <c r="R175" s="37">
        <v>4.2333333333333334E-2</v>
      </c>
      <c r="S175" s="37">
        <v>4.2333333333333334E-2</v>
      </c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</row>
    <row r="176" spans="1:37" s="37" customFormat="1" x14ac:dyDescent="0.15">
      <c r="A176" s="59"/>
      <c r="B176" s="37" t="s">
        <v>92</v>
      </c>
      <c r="C176" s="37">
        <v>0</v>
      </c>
      <c r="D176" s="37">
        <v>1</v>
      </c>
      <c r="E176" s="37">
        <v>0</v>
      </c>
      <c r="F176" s="37">
        <v>0.75</v>
      </c>
      <c r="G176" s="37">
        <v>0</v>
      </c>
      <c r="H176" s="8">
        <v>0</v>
      </c>
      <c r="I176" s="37">
        <v>0</v>
      </c>
      <c r="J176" s="37">
        <v>0</v>
      </c>
      <c r="K176" s="37">
        <v>0.75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</row>
    <row r="177" spans="1:37" s="37" customFormat="1" x14ac:dyDescent="0.15">
      <c r="A177" s="59"/>
      <c r="B177" s="37" t="s">
        <v>91</v>
      </c>
      <c r="C177" s="37">
        <v>0</v>
      </c>
      <c r="D177" s="37">
        <v>0.5</v>
      </c>
      <c r="E177" s="37">
        <v>0</v>
      </c>
      <c r="F177" s="37">
        <v>0.25</v>
      </c>
      <c r="G177" s="37">
        <v>0</v>
      </c>
      <c r="H177" s="8">
        <v>0</v>
      </c>
      <c r="I177" s="37">
        <v>0</v>
      </c>
      <c r="J177" s="37">
        <v>0</v>
      </c>
      <c r="K177" s="37">
        <v>0.25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</row>
    <row r="178" spans="1:37" s="37" customFormat="1" x14ac:dyDescent="0.15">
      <c r="A178" s="59"/>
      <c r="B178" s="37" t="s">
        <v>90</v>
      </c>
      <c r="C178" s="37">
        <v>0</v>
      </c>
      <c r="D178" s="37">
        <v>0.25</v>
      </c>
      <c r="E178" s="37">
        <v>0</v>
      </c>
      <c r="F178" s="37">
        <v>0.25</v>
      </c>
      <c r="G178" s="37">
        <v>0</v>
      </c>
      <c r="H178" s="8">
        <v>0</v>
      </c>
      <c r="I178" s="37">
        <v>0</v>
      </c>
      <c r="J178" s="37">
        <v>0</v>
      </c>
      <c r="K178" s="37">
        <v>0.25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</row>
    <row r="179" spans="1:37" s="37" customFormat="1" x14ac:dyDescent="0.15">
      <c r="A179" s="59"/>
      <c r="B179" s="37" t="s">
        <v>89</v>
      </c>
      <c r="C179" s="37">
        <v>7.8E-2</v>
      </c>
      <c r="D179" s="37">
        <v>0</v>
      </c>
      <c r="E179" s="37">
        <v>0</v>
      </c>
      <c r="F179" s="37">
        <v>3.6000000000000004E-2</v>
      </c>
      <c r="G179" s="37">
        <v>0</v>
      </c>
      <c r="H179" s="8">
        <v>0</v>
      </c>
      <c r="I179" s="37">
        <v>0</v>
      </c>
      <c r="J179" s="37">
        <v>2.7E-2</v>
      </c>
      <c r="K179" s="37">
        <v>1.2999999999999999E-2</v>
      </c>
      <c r="L179" s="37">
        <v>0</v>
      </c>
      <c r="M179" s="37">
        <v>0</v>
      </c>
      <c r="N179" s="37">
        <v>5.0999999999999997E-2</v>
      </c>
      <c r="O179" s="37">
        <v>0</v>
      </c>
      <c r="P179" s="37">
        <v>0</v>
      </c>
      <c r="Q179" s="37">
        <v>2.4333333333333332E-2</v>
      </c>
      <c r="R179" s="37">
        <v>2.4333333333333332E-2</v>
      </c>
      <c r="S179" s="37">
        <v>2.4333333333333332E-2</v>
      </c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</row>
    <row r="180" spans="1:37" s="37" customFormat="1" x14ac:dyDescent="0.15">
      <c r="A180" s="59"/>
      <c r="B180" s="37" t="s">
        <v>88</v>
      </c>
      <c r="C180" s="37">
        <v>0</v>
      </c>
      <c r="D180" s="37">
        <v>0.35</v>
      </c>
      <c r="E180" s="37">
        <v>0</v>
      </c>
      <c r="F180" s="37">
        <v>0.14499999999999999</v>
      </c>
      <c r="G180" s="37">
        <v>0</v>
      </c>
      <c r="H180" s="8">
        <v>0</v>
      </c>
      <c r="I180" s="37">
        <v>0</v>
      </c>
      <c r="J180" s="37">
        <v>0</v>
      </c>
      <c r="K180" s="37">
        <v>0.125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</row>
    <row r="181" spans="1:37" s="37" customFormat="1" x14ac:dyDescent="0.15">
      <c r="A181" s="59"/>
      <c r="B181" s="37" t="s">
        <v>303</v>
      </c>
      <c r="C181" s="37">
        <v>2.2349999999999999</v>
      </c>
      <c r="D181" s="37">
        <v>0</v>
      </c>
      <c r="E181" s="37">
        <v>0</v>
      </c>
      <c r="F181" s="37">
        <v>0</v>
      </c>
      <c r="G181" s="37">
        <v>0</v>
      </c>
      <c r="H181" s="8">
        <v>0</v>
      </c>
      <c r="I181" s="37">
        <v>0.59599999999999997</v>
      </c>
      <c r="J181" s="37">
        <v>0.502</v>
      </c>
      <c r="K181" s="37">
        <v>8.2000000000000003E-2</v>
      </c>
      <c r="L181" s="37">
        <v>33.067999999999998</v>
      </c>
      <c r="M181" s="37">
        <v>0</v>
      </c>
      <c r="N181" s="37">
        <v>0</v>
      </c>
      <c r="O181" s="37">
        <v>1.7329999999999999</v>
      </c>
      <c r="P181" s="37">
        <v>0</v>
      </c>
      <c r="Q181" s="37">
        <v>0</v>
      </c>
      <c r="R181" s="37">
        <v>0</v>
      </c>
      <c r="S181" s="37">
        <v>0</v>
      </c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</row>
    <row r="182" spans="1:37" s="37" customFormat="1" x14ac:dyDescent="0.15">
      <c r="A182" s="59"/>
      <c r="B182" s="37" t="s">
        <v>86</v>
      </c>
      <c r="C182" s="37">
        <v>10.703000000000001</v>
      </c>
      <c r="D182" s="37">
        <v>0</v>
      </c>
      <c r="E182" s="37">
        <v>0</v>
      </c>
      <c r="F182" s="37">
        <v>2.294</v>
      </c>
      <c r="G182" s="37">
        <v>0</v>
      </c>
      <c r="H182" s="8">
        <v>0</v>
      </c>
      <c r="I182" s="37">
        <v>1.8940000000000001</v>
      </c>
      <c r="J182" s="37">
        <v>2.02</v>
      </c>
      <c r="K182" s="37">
        <v>1.048</v>
      </c>
      <c r="L182" s="37">
        <v>6.4339999999999993</v>
      </c>
      <c r="M182" s="37">
        <v>0</v>
      </c>
      <c r="N182" s="37">
        <v>3.25</v>
      </c>
      <c r="O182" s="37">
        <v>2.363</v>
      </c>
      <c r="P182" s="37">
        <v>0</v>
      </c>
      <c r="Q182" s="37">
        <v>3.1343333333333336</v>
      </c>
      <c r="R182" s="37">
        <v>3.1343333333333336</v>
      </c>
      <c r="S182" s="37">
        <v>3.1343333333333336</v>
      </c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</row>
    <row r="183" spans="1:37" s="37" customFormat="1" x14ac:dyDescent="0.15">
      <c r="A183" s="59"/>
      <c r="B183" s="37" t="s">
        <v>85</v>
      </c>
      <c r="C183" s="37">
        <v>4.6889999999999992</v>
      </c>
      <c r="D183" s="37">
        <v>0</v>
      </c>
      <c r="E183" s="37">
        <v>0</v>
      </c>
      <c r="F183" s="37">
        <v>2.5249999999999999</v>
      </c>
      <c r="G183" s="37">
        <v>0.24099999999999999</v>
      </c>
      <c r="H183" s="8">
        <v>0</v>
      </c>
      <c r="I183" s="37">
        <v>0</v>
      </c>
      <c r="J183" s="37">
        <v>1.641</v>
      </c>
      <c r="K183" s="37">
        <v>1.5629999999999999</v>
      </c>
      <c r="L183" s="37">
        <v>0</v>
      </c>
      <c r="M183" s="37">
        <v>0</v>
      </c>
      <c r="N183" s="37">
        <v>3.048</v>
      </c>
      <c r="O183" s="37">
        <v>0</v>
      </c>
      <c r="P183" s="37">
        <v>0</v>
      </c>
      <c r="Q183" s="37">
        <v>0.36066666666666669</v>
      </c>
      <c r="R183" s="37">
        <v>0.36066666666666669</v>
      </c>
      <c r="S183" s="37">
        <v>0.36066666666666669</v>
      </c>
      <c r="U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  <c r="AH183" s="235"/>
      <c r="AI183" s="235"/>
      <c r="AJ183" s="235"/>
      <c r="AK183" s="235"/>
    </row>
    <row r="184" spans="1:37" s="37" customFormat="1" x14ac:dyDescent="0.15">
      <c r="A184" s="59"/>
      <c r="B184" s="37" t="s">
        <v>84</v>
      </c>
      <c r="C184" s="37">
        <v>5.24</v>
      </c>
      <c r="D184" s="37">
        <v>0</v>
      </c>
      <c r="E184" s="37">
        <v>0</v>
      </c>
      <c r="F184" s="37">
        <v>1.0720000000000001</v>
      </c>
      <c r="G184" s="37">
        <v>0</v>
      </c>
      <c r="H184" s="8">
        <v>0</v>
      </c>
      <c r="I184" s="37">
        <v>1.4950000000000001</v>
      </c>
      <c r="J184" s="37">
        <v>0.86399999999999999</v>
      </c>
      <c r="K184" s="37">
        <v>0.64600000000000002</v>
      </c>
      <c r="L184" s="37">
        <v>3.6180000000000003</v>
      </c>
      <c r="M184" s="37">
        <v>0</v>
      </c>
      <c r="N184" s="37">
        <v>1.3110000000000002</v>
      </c>
      <c r="O184" s="37">
        <v>1.3290000000000002</v>
      </c>
      <c r="P184" s="37">
        <v>0</v>
      </c>
      <c r="Q184" s="37">
        <v>1.2886666666666666</v>
      </c>
      <c r="R184" s="37">
        <v>1.2886666666666666</v>
      </c>
      <c r="S184" s="37">
        <v>1.2886666666666666</v>
      </c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</row>
    <row r="185" spans="1:37" s="37" customFormat="1" x14ac:dyDescent="0.15">
      <c r="A185" s="59"/>
      <c r="B185" s="37" t="s">
        <v>131</v>
      </c>
      <c r="C185" s="37">
        <v>0</v>
      </c>
      <c r="D185" s="37">
        <v>9.8089999999999993</v>
      </c>
      <c r="E185" s="37">
        <v>1.1540000000000001</v>
      </c>
      <c r="F185" s="37">
        <v>0.57700000000000007</v>
      </c>
      <c r="G185" s="37">
        <v>0</v>
      </c>
      <c r="H185" s="8">
        <v>0</v>
      </c>
      <c r="I185" s="37">
        <v>6.0000000000000005E-2</v>
      </c>
      <c r="J185" s="37">
        <v>0</v>
      </c>
      <c r="K185" s="37">
        <v>0</v>
      </c>
      <c r="L185" s="37">
        <v>0</v>
      </c>
      <c r="M185" s="37">
        <v>9.8089999999999993</v>
      </c>
      <c r="N185" s="37">
        <v>0.57700000000000007</v>
      </c>
      <c r="O185" s="37">
        <v>0.20799999999999999</v>
      </c>
      <c r="P185" s="37">
        <v>9.1999999999999998E-2</v>
      </c>
      <c r="Q185" s="37">
        <v>9.2333333333333337E-2</v>
      </c>
      <c r="R185" s="37">
        <v>9.2333333333333337E-2</v>
      </c>
      <c r="S185" s="37">
        <v>9.2333333333333337E-2</v>
      </c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</row>
    <row r="186" spans="1:37" s="37" customFormat="1" x14ac:dyDescent="0.15">
      <c r="A186" s="59"/>
      <c r="B186" s="37" t="s">
        <v>132</v>
      </c>
      <c r="C186" s="37">
        <v>0</v>
      </c>
      <c r="D186" s="37">
        <v>3.516</v>
      </c>
      <c r="E186" s="37">
        <v>1.7249999999999999</v>
      </c>
      <c r="F186" s="37">
        <v>0.75</v>
      </c>
      <c r="G186" s="37">
        <v>0</v>
      </c>
      <c r="H186" s="8">
        <v>0</v>
      </c>
      <c r="I186" s="37">
        <v>2</v>
      </c>
      <c r="J186" s="37">
        <v>0</v>
      </c>
      <c r="K186" s="37">
        <v>0</v>
      </c>
      <c r="L186" s="37">
        <v>6</v>
      </c>
      <c r="M186" s="37">
        <v>3.4529999999999998</v>
      </c>
      <c r="N186" s="37">
        <v>0.8630000000000001</v>
      </c>
      <c r="O186" s="37">
        <v>0.311</v>
      </c>
      <c r="P186" s="37">
        <v>0.13799999999999998</v>
      </c>
      <c r="Q186" s="37">
        <v>0.13799999999999998</v>
      </c>
      <c r="R186" s="37">
        <v>0.13799999999999998</v>
      </c>
      <c r="S186" s="37">
        <v>0.13799999999999998</v>
      </c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</row>
    <row r="187" spans="1:37" s="37" customFormat="1" x14ac:dyDescent="0.15">
      <c r="A187" s="59"/>
      <c r="B187" s="37" t="s">
        <v>83</v>
      </c>
      <c r="C187" s="37">
        <v>0</v>
      </c>
      <c r="D187" s="37">
        <v>0</v>
      </c>
      <c r="E187" s="37">
        <v>9.5000000000000001E-2</v>
      </c>
      <c r="F187" s="37">
        <v>0.2</v>
      </c>
      <c r="G187" s="37">
        <v>6.2E-2</v>
      </c>
      <c r="H187" s="8">
        <v>0</v>
      </c>
      <c r="I187" s="37">
        <v>0</v>
      </c>
      <c r="J187" s="37">
        <v>0</v>
      </c>
      <c r="K187" s="37">
        <v>5.8000000000000003E-2</v>
      </c>
      <c r="L187" s="37">
        <v>0</v>
      </c>
      <c r="M187" s="37">
        <v>0</v>
      </c>
      <c r="N187" s="37">
        <v>7.9000000000000001E-2</v>
      </c>
      <c r="O187" s="37">
        <v>0</v>
      </c>
      <c r="P187" s="37">
        <v>1.2999999999999999E-2</v>
      </c>
      <c r="Q187" s="37">
        <v>1.2333333333333335E-2</v>
      </c>
      <c r="R187" s="37">
        <v>1.2333333333333335E-2</v>
      </c>
      <c r="S187" s="37">
        <v>1.2333333333333335E-2</v>
      </c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</row>
    <row r="188" spans="1:37" s="37" customFormat="1" x14ac:dyDescent="0.15">
      <c r="A188" s="59"/>
      <c r="B188" s="37" t="s">
        <v>82</v>
      </c>
      <c r="C188" s="37">
        <v>0</v>
      </c>
      <c r="D188" s="37">
        <v>0</v>
      </c>
      <c r="E188" s="37">
        <v>0</v>
      </c>
      <c r="F188" s="37">
        <v>0.66600000000000004</v>
      </c>
      <c r="G188" s="37">
        <v>0</v>
      </c>
      <c r="H188" s="8">
        <v>0</v>
      </c>
      <c r="I188" s="37">
        <v>0</v>
      </c>
      <c r="J188" s="37">
        <v>0</v>
      </c>
      <c r="K188" s="37">
        <v>0.66600000000000004</v>
      </c>
      <c r="L188" s="37">
        <v>5.6660000000000004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</row>
    <row r="189" spans="1:37" s="37" customFormat="1" x14ac:dyDescent="0.15">
      <c r="A189" s="59"/>
      <c r="B189" s="37" t="s">
        <v>272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8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</row>
    <row r="190" spans="1:37" s="37" customFormat="1" x14ac:dyDescent="0.15">
      <c r="A190" s="59"/>
      <c r="B190" s="37" t="s">
        <v>273</v>
      </c>
      <c r="C190" s="37">
        <v>0</v>
      </c>
      <c r="D190" s="37">
        <v>0.375</v>
      </c>
      <c r="E190" s="37">
        <v>0.7</v>
      </c>
      <c r="F190" s="37">
        <v>0</v>
      </c>
      <c r="G190" s="37">
        <v>0</v>
      </c>
      <c r="H190" s="8">
        <v>0</v>
      </c>
      <c r="I190" s="37">
        <v>2</v>
      </c>
      <c r="J190" s="37">
        <v>0</v>
      </c>
      <c r="K190" s="37">
        <v>0</v>
      </c>
      <c r="L190" s="37">
        <v>13.75</v>
      </c>
      <c r="M190" s="37">
        <v>0.375</v>
      </c>
      <c r="N190" s="37">
        <v>0.35</v>
      </c>
      <c r="O190" s="37">
        <v>0.126</v>
      </c>
      <c r="P190" s="37">
        <v>5.6000000000000001E-2</v>
      </c>
      <c r="Q190" s="37">
        <v>5.6000000000000001E-2</v>
      </c>
      <c r="R190" s="37">
        <v>5.6000000000000001E-2</v>
      </c>
      <c r="S190" s="37">
        <v>5.6000000000000001E-2</v>
      </c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</row>
    <row r="191" spans="1:37" s="37" customFormat="1" x14ac:dyDescent="0.15">
      <c r="A191" s="59"/>
      <c r="B191" s="37" t="s">
        <v>274</v>
      </c>
      <c r="C191" s="37">
        <v>4.1349999999999998</v>
      </c>
      <c r="D191" s="37">
        <v>0</v>
      </c>
      <c r="E191" s="37">
        <v>0</v>
      </c>
      <c r="F191" s="37">
        <v>0</v>
      </c>
      <c r="G191" s="37">
        <v>0</v>
      </c>
      <c r="H191" s="8">
        <v>0</v>
      </c>
      <c r="I191" s="37">
        <v>0</v>
      </c>
      <c r="J191" s="37">
        <v>0</v>
      </c>
      <c r="K191" s="37">
        <v>4.1999999999999996E-2</v>
      </c>
      <c r="L191" s="37">
        <v>0</v>
      </c>
      <c r="M191" s="37">
        <v>0</v>
      </c>
      <c r="N191" s="37">
        <v>0</v>
      </c>
      <c r="O191" s="37">
        <v>4.1349999999999998</v>
      </c>
      <c r="P191" s="37">
        <v>0</v>
      </c>
      <c r="Q191" s="37">
        <v>0</v>
      </c>
      <c r="R191" s="37">
        <v>0</v>
      </c>
      <c r="S191" s="37">
        <v>0</v>
      </c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</row>
    <row r="192" spans="1:37" s="37" customFormat="1" x14ac:dyDescent="0.15">
      <c r="A192" s="59"/>
      <c r="B192" s="37" t="s">
        <v>275</v>
      </c>
      <c r="C192" s="37">
        <v>8.5520000000000014</v>
      </c>
      <c r="D192" s="37">
        <v>0</v>
      </c>
      <c r="E192" s="37">
        <v>0</v>
      </c>
      <c r="F192" s="37">
        <v>1.4259999999999999</v>
      </c>
      <c r="G192" s="37">
        <v>0</v>
      </c>
      <c r="H192" s="8">
        <v>0</v>
      </c>
      <c r="I192" s="37">
        <v>1.782</v>
      </c>
      <c r="J192" s="37">
        <v>1.3680000000000001</v>
      </c>
      <c r="K192" s="37">
        <v>0.71299999999999997</v>
      </c>
      <c r="L192" s="37">
        <v>6.0549999999999997</v>
      </c>
      <c r="M192" s="37">
        <v>0</v>
      </c>
      <c r="N192" s="37">
        <v>2.0529999999999999</v>
      </c>
      <c r="O192" s="37">
        <v>0.97021841052029734</v>
      </c>
      <c r="P192" s="37">
        <v>0</v>
      </c>
      <c r="Q192" s="37">
        <v>2.157</v>
      </c>
      <c r="R192" s="37">
        <v>2.157</v>
      </c>
      <c r="S192" s="37">
        <v>2.157</v>
      </c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</row>
    <row r="193" spans="1:37" s="37" customFormat="1" x14ac:dyDescent="0.15">
      <c r="A193" s="59"/>
      <c r="B193" s="37" t="s">
        <v>309</v>
      </c>
      <c r="C193" s="37">
        <v>4.8979999999999997</v>
      </c>
      <c r="D193" s="37">
        <v>0</v>
      </c>
      <c r="E193" s="37">
        <v>0</v>
      </c>
      <c r="F193" s="37">
        <v>0.81700000000000006</v>
      </c>
      <c r="G193" s="37">
        <v>0</v>
      </c>
      <c r="H193" s="8">
        <v>0</v>
      </c>
      <c r="I193" s="37">
        <v>1.0209999999999999</v>
      </c>
      <c r="J193" s="37">
        <v>0.78400000000000003</v>
      </c>
      <c r="K193" s="37">
        <v>0.40799999999999997</v>
      </c>
      <c r="L193" s="37">
        <v>3.468</v>
      </c>
      <c r="M193" s="37">
        <v>0</v>
      </c>
      <c r="N193" s="37">
        <v>1.1759999999999999</v>
      </c>
      <c r="O193" s="37">
        <v>0.55578158947970269</v>
      </c>
      <c r="P193" s="37">
        <v>0</v>
      </c>
      <c r="Q193" s="37">
        <v>1.2353333333333334</v>
      </c>
      <c r="R193" s="37">
        <v>1.2353333333333334</v>
      </c>
      <c r="S193" s="37">
        <v>1.2353333333333334</v>
      </c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</row>
    <row r="194" spans="1:37" s="37" customFormat="1" x14ac:dyDescent="0.15">
      <c r="A194" s="59"/>
      <c r="B194" s="1" t="s">
        <v>283</v>
      </c>
      <c r="C194">
        <v>0</v>
      </c>
      <c r="D194">
        <v>0</v>
      </c>
      <c r="E194">
        <v>0</v>
      </c>
      <c r="F194">
        <v>0</v>
      </c>
      <c r="G194">
        <v>0</v>
      </c>
      <c r="H194" s="8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</row>
    <row r="195" spans="1:37" s="37" customFormat="1" x14ac:dyDescent="0.15">
      <c r="A195" s="59"/>
      <c r="B195" s="1" t="s">
        <v>284</v>
      </c>
      <c r="C195">
        <v>0</v>
      </c>
      <c r="D195">
        <v>0</v>
      </c>
      <c r="E195">
        <v>0</v>
      </c>
      <c r="F195">
        <v>0</v>
      </c>
      <c r="G195">
        <v>0</v>
      </c>
      <c r="H195" s="8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</row>
    <row r="196" spans="1:37" s="37" customFormat="1" x14ac:dyDescent="0.15">
      <c r="A196" s="59"/>
      <c r="B196" t="s">
        <v>285</v>
      </c>
      <c r="C196">
        <v>0</v>
      </c>
      <c r="D196">
        <v>0</v>
      </c>
      <c r="E196">
        <v>0</v>
      </c>
      <c r="F196">
        <v>0</v>
      </c>
      <c r="G196">
        <v>0</v>
      </c>
      <c r="H196" s="8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</row>
    <row r="197" spans="1:37" s="37" customFormat="1" x14ac:dyDescent="0.15">
      <c r="A197" s="59"/>
      <c r="B197" t="s">
        <v>286</v>
      </c>
      <c r="C197">
        <v>0</v>
      </c>
      <c r="D197">
        <v>0</v>
      </c>
      <c r="E197">
        <v>0</v>
      </c>
      <c r="F197">
        <v>0</v>
      </c>
      <c r="G197">
        <v>0</v>
      </c>
      <c r="H197" s="8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U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</row>
    <row r="198" spans="1:37" s="37" customFormat="1" x14ac:dyDescent="0.15">
      <c r="A198" s="59"/>
      <c r="B198" t="s">
        <v>287</v>
      </c>
      <c r="C198">
        <v>0</v>
      </c>
      <c r="D198">
        <v>0</v>
      </c>
      <c r="E198">
        <v>0</v>
      </c>
      <c r="F198">
        <v>0</v>
      </c>
      <c r="G198">
        <v>0</v>
      </c>
      <c r="H198" s="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</row>
    <row r="199" spans="1:37" s="37" customFormat="1" x14ac:dyDescent="0.15">
      <c r="A199" s="59"/>
      <c r="B199" t="s">
        <v>288</v>
      </c>
      <c r="C199">
        <v>0</v>
      </c>
      <c r="D199">
        <v>0</v>
      </c>
      <c r="E199">
        <v>0</v>
      </c>
      <c r="F199">
        <v>0</v>
      </c>
      <c r="G199">
        <v>0</v>
      </c>
      <c r="H199" s="8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</row>
    <row r="200" spans="1:37" s="37" customFormat="1" x14ac:dyDescent="0.15">
      <c r="A200" s="59"/>
      <c r="B200" t="s">
        <v>289</v>
      </c>
      <c r="C200">
        <v>0</v>
      </c>
      <c r="D200">
        <v>0</v>
      </c>
      <c r="E200">
        <v>0</v>
      </c>
      <c r="F200">
        <v>0</v>
      </c>
      <c r="G200">
        <v>0</v>
      </c>
      <c r="H200" s="8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</row>
    <row r="201" spans="1:37" s="37" customFormat="1" x14ac:dyDescent="0.15">
      <c r="A201" s="59"/>
      <c r="B201" t="s">
        <v>306</v>
      </c>
      <c r="C201">
        <v>0</v>
      </c>
      <c r="D201">
        <v>0</v>
      </c>
      <c r="E201">
        <v>0</v>
      </c>
      <c r="F201">
        <v>0</v>
      </c>
      <c r="G201">
        <v>0</v>
      </c>
      <c r="H201" s="8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</row>
    <row r="202" spans="1:37" s="37" customFormat="1" x14ac:dyDescent="0.15">
      <c r="A202" s="59"/>
      <c r="B202" t="s">
        <v>290</v>
      </c>
      <c r="C202">
        <v>0</v>
      </c>
      <c r="D202">
        <v>0</v>
      </c>
      <c r="E202">
        <v>0</v>
      </c>
      <c r="F202">
        <v>0</v>
      </c>
      <c r="G202">
        <v>0</v>
      </c>
      <c r="H202" s="8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</row>
    <row r="203" spans="1:37" s="37" customFormat="1" x14ac:dyDescent="0.15">
      <c r="A203" s="59"/>
      <c r="B203" t="s">
        <v>291</v>
      </c>
      <c r="C203">
        <v>0</v>
      </c>
      <c r="D203">
        <v>0</v>
      </c>
      <c r="E203">
        <v>0</v>
      </c>
      <c r="F203">
        <v>0</v>
      </c>
      <c r="G203">
        <v>0</v>
      </c>
      <c r="H203" s="8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U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  <c r="AH203" s="235"/>
      <c r="AI203" s="235"/>
      <c r="AJ203" s="235"/>
      <c r="AK203" s="235"/>
    </row>
    <row r="204" spans="1:37" s="37" customFormat="1" x14ac:dyDescent="0.15">
      <c r="A204" s="59"/>
      <c r="B204" t="s">
        <v>293</v>
      </c>
      <c r="C204">
        <v>0</v>
      </c>
      <c r="D204">
        <v>0</v>
      </c>
      <c r="E204">
        <v>0</v>
      </c>
      <c r="F204">
        <v>0</v>
      </c>
      <c r="G204">
        <v>0</v>
      </c>
      <c r="H204" s="8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</row>
    <row r="205" spans="1:37" s="37" customFormat="1" x14ac:dyDescent="0.15">
      <c r="A205" s="59"/>
      <c r="B205" t="s">
        <v>292</v>
      </c>
      <c r="C205">
        <v>0</v>
      </c>
      <c r="D205">
        <v>0</v>
      </c>
      <c r="E205">
        <v>0</v>
      </c>
      <c r="F205">
        <v>0</v>
      </c>
      <c r="G205">
        <v>0</v>
      </c>
      <c r="H205" s="8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U205" s="235"/>
      <c r="V205" s="235"/>
      <c r="W205" s="235"/>
      <c r="X205" s="235"/>
      <c r="Y205" s="235"/>
      <c r="Z205" s="235"/>
      <c r="AA205" s="235"/>
      <c r="AB205" s="235"/>
      <c r="AC205" s="235"/>
      <c r="AD205" s="235"/>
      <c r="AE205" s="235"/>
      <c r="AF205" s="235"/>
      <c r="AG205" s="235"/>
      <c r="AH205" s="235"/>
      <c r="AI205" s="235"/>
      <c r="AJ205" s="235"/>
      <c r="AK205" s="235"/>
    </row>
    <row r="206" spans="1:37" s="37" customFormat="1" x14ac:dyDescent="0.15">
      <c r="A206" s="59"/>
      <c r="B206" t="s">
        <v>294</v>
      </c>
      <c r="C206">
        <v>0</v>
      </c>
      <c r="D206">
        <v>0</v>
      </c>
      <c r="E206">
        <v>0</v>
      </c>
      <c r="F206">
        <v>0</v>
      </c>
      <c r="G206">
        <v>0</v>
      </c>
      <c r="H206" s="8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U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  <c r="AH206" s="235"/>
      <c r="AI206" s="235"/>
      <c r="AJ206" s="235"/>
      <c r="AK206" s="235"/>
    </row>
    <row r="207" spans="1:37" s="37" customFormat="1" x14ac:dyDescent="0.15">
      <c r="A207" s="59"/>
      <c r="B207" t="s">
        <v>295</v>
      </c>
      <c r="C207">
        <v>0</v>
      </c>
      <c r="D207">
        <v>0</v>
      </c>
      <c r="E207">
        <v>0</v>
      </c>
      <c r="F207">
        <v>0</v>
      </c>
      <c r="G207">
        <v>0</v>
      </c>
      <c r="H207" s="8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</row>
    <row r="208" spans="1:37" s="37" customFormat="1" x14ac:dyDescent="0.15">
      <c r="A208" s="59"/>
      <c r="B208" t="s">
        <v>296</v>
      </c>
      <c r="C208">
        <v>0</v>
      </c>
      <c r="D208">
        <v>0</v>
      </c>
      <c r="E208">
        <v>0</v>
      </c>
      <c r="F208">
        <v>0</v>
      </c>
      <c r="G208">
        <v>0</v>
      </c>
      <c r="H208" s="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</row>
    <row r="209" spans="1:37" s="37" customFormat="1" x14ac:dyDescent="0.15">
      <c r="A209" s="59"/>
      <c r="B209" t="s">
        <v>297</v>
      </c>
      <c r="C209">
        <v>0</v>
      </c>
      <c r="D209">
        <v>0</v>
      </c>
      <c r="E209">
        <v>0</v>
      </c>
      <c r="F209">
        <v>0</v>
      </c>
      <c r="G209">
        <v>0</v>
      </c>
      <c r="H209" s="8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</row>
    <row r="210" spans="1:37" s="37" customFormat="1" x14ac:dyDescent="0.15">
      <c r="A210" s="59"/>
      <c r="B210" t="s">
        <v>298</v>
      </c>
      <c r="C210">
        <v>0</v>
      </c>
      <c r="D210">
        <v>0</v>
      </c>
      <c r="E210">
        <v>0</v>
      </c>
      <c r="F210">
        <v>0</v>
      </c>
      <c r="G210">
        <v>0</v>
      </c>
      <c r="H210" s="8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U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  <c r="AI210" s="235"/>
      <c r="AJ210" s="235"/>
      <c r="AK210" s="235"/>
    </row>
    <row r="211" spans="1:37" s="37" customFormat="1" x14ac:dyDescent="0.15">
      <c r="A211" s="59"/>
      <c r="B211" t="s">
        <v>299</v>
      </c>
      <c r="C211">
        <v>0</v>
      </c>
      <c r="D211">
        <v>0</v>
      </c>
      <c r="E211">
        <v>0</v>
      </c>
      <c r="F211">
        <v>0</v>
      </c>
      <c r="G211">
        <v>0</v>
      </c>
      <c r="H211" s="8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  <c r="AI211" s="235"/>
      <c r="AJ211" s="235"/>
      <c r="AK211" s="235"/>
    </row>
    <row r="212" spans="1:37" s="37" customFormat="1" ht="12" thickBot="1" x14ac:dyDescent="0.2">
      <c r="A212" s="63"/>
      <c r="B212" s="16" t="s">
        <v>311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</row>
    <row r="213" spans="1:37" s="37" customFormat="1" x14ac:dyDescent="0.15">
      <c r="A213" s="210" t="s">
        <v>433</v>
      </c>
      <c r="B213" s="37" t="s">
        <v>93</v>
      </c>
      <c r="C213" s="37">
        <v>0.13600000000000001</v>
      </c>
      <c r="D213" s="37">
        <v>0</v>
      </c>
      <c r="E213" s="37">
        <v>0</v>
      </c>
      <c r="F213" s="37">
        <v>6.4000000000000001E-2</v>
      </c>
      <c r="G213" s="37">
        <v>0</v>
      </c>
      <c r="H213" s="8">
        <v>0</v>
      </c>
      <c r="I213" s="37">
        <v>0</v>
      </c>
      <c r="J213" s="37">
        <v>4.8000000000000001E-2</v>
      </c>
      <c r="K213" s="37">
        <v>2.3E-2</v>
      </c>
      <c r="L213" s="37">
        <v>0</v>
      </c>
      <c r="M213" s="37">
        <v>0</v>
      </c>
      <c r="N213" s="37">
        <v>99000</v>
      </c>
      <c r="O213" s="37">
        <v>0</v>
      </c>
      <c r="P213" s="37">
        <v>99000</v>
      </c>
      <c r="Q213" s="37">
        <v>4.2333333333333334E-2</v>
      </c>
      <c r="R213" s="37">
        <v>4.2333333333333334E-2</v>
      </c>
      <c r="S213" s="37">
        <v>4.2333333333333334E-2</v>
      </c>
    </row>
    <row r="214" spans="1:37" x14ac:dyDescent="0.15">
      <c r="A214" s="210"/>
      <c r="B214" s="37" t="s">
        <v>92</v>
      </c>
      <c r="C214" s="37">
        <v>0</v>
      </c>
      <c r="D214" s="37">
        <v>1</v>
      </c>
      <c r="E214" s="37">
        <v>0</v>
      </c>
      <c r="F214" s="37">
        <v>0.75</v>
      </c>
      <c r="G214" s="37">
        <v>0</v>
      </c>
      <c r="H214" s="8">
        <v>0</v>
      </c>
      <c r="I214" s="37">
        <v>0</v>
      </c>
      <c r="J214" s="37">
        <v>0</v>
      </c>
      <c r="K214" s="37">
        <v>0.75</v>
      </c>
      <c r="L214" s="37">
        <v>0</v>
      </c>
      <c r="M214" s="37">
        <v>0</v>
      </c>
      <c r="N214" s="37">
        <v>99000</v>
      </c>
      <c r="O214" s="37">
        <v>0</v>
      </c>
      <c r="P214" s="37">
        <v>99000</v>
      </c>
      <c r="Q214" s="37">
        <v>0</v>
      </c>
      <c r="R214" s="37">
        <v>0</v>
      </c>
      <c r="S214" s="37">
        <v>0</v>
      </c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</row>
    <row r="215" spans="1:37" x14ac:dyDescent="0.15">
      <c r="A215" s="210"/>
      <c r="B215" s="37" t="s">
        <v>91</v>
      </c>
      <c r="C215" s="37">
        <v>0</v>
      </c>
      <c r="D215" s="37">
        <v>0.5</v>
      </c>
      <c r="E215" s="37">
        <v>0</v>
      </c>
      <c r="F215" s="37">
        <v>0.25</v>
      </c>
      <c r="G215" s="37">
        <v>0</v>
      </c>
      <c r="H215" s="8">
        <v>0</v>
      </c>
      <c r="I215" s="37">
        <v>0</v>
      </c>
      <c r="J215" s="37">
        <v>0</v>
      </c>
      <c r="K215" s="37">
        <v>0.25</v>
      </c>
      <c r="L215" s="37">
        <v>0</v>
      </c>
      <c r="M215" s="37">
        <v>0</v>
      </c>
      <c r="N215" s="37">
        <v>99000</v>
      </c>
      <c r="O215" s="37">
        <v>0</v>
      </c>
      <c r="P215" s="37">
        <v>99000</v>
      </c>
      <c r="Q215" s="37">
        <v>0</v>
      </c>
      <c r="R215" s="37">
        <v>0</v>
      </c>
      <c r="S215" s="37">
        <v>0</v>
      </c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</row>
    <row r="216" spans="1:37" x14ac:dyDescent="0.15">
      <c r="A216" s="210"/>
      <c r="B216" s="37" t="s">
        <v>90</v>
      </c>
      <c r="C216" s="37">
        <v>0</v>
      </c>
      <c r="D216" s="37">
        <v>0.25</v>
      </c>
      <c r="E216" s="37">
        <v>0</v>
      </c>
      <c r="F216" s="37">
        <v>0.25</v>
      </c>
      <c r="G216" s="37">
        <v>0</v>
      </c>
      <c r="H216" s="8">
        <v>0</v>
      </c>
      <c r="I216" s="37">
        <v>0</v>
      </c>
      <c r="J216" s="37">
        <v>0</v>
      </c>
      <c r="K216" s="37">
        <v>0.25</v>
      </c>
      <c r="L216" s="37">
        <v>0</v>
      </c>
      <c r="M216" s="37">
        <v>0</v>
      </c>
      <c r="N216" s="37">
        <v>99000</v>
      </c>
      <c r="O216" s="37">
        <v>0</v>
      </c>
      <c r="P216" s="37">
        <v>99000</v>
      </c>
      <c r="Q216" s="37">
        <v>0</v>
      </c>
      <c r="R216" s="37">
        <v>0</v>
      </c>
      <c r="S216" s="37">
        <v>0</v>
      </c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</row>
    <row r="217" spans="1:37" x14ac:dyDescent="0.15">
      <c r="A217" s="210"/>
      <c r="B217" s="37" t="s">
        <v>89</v>
      </c>
      <c r="C217" s="37">
        <v>7.8E-2</v>
      </c>
      <c r="D217" s="37">
        <v>0</v>
      </c>
      <c r="E217" s="37">
        <v>0</v>
      </c>
      <c r="F217" s="37">
        <v>3.6000000000000004E-2</v>
      </c>
      <c r="G217" s="37">
        <v>0</v>
      </c>
      <c r="H217" s="8">
        <v>0</v>
      </c>
      <c r="I217" s="37">
        <v>0</v>
      </c>
      <c r="J217" s="37">
        <v>2.7E-2</v>
      </c>
      <c r="K217" s="37">
        <v>1.2999999999999999E-2</v>
      </c>
      <c r="L217" s="37">
        <v>0</v>
      </c>
      <c r="M217" s="37">
        <v>0</v>
      </c>
      <c r="N217" s="37">
        <v>99000</v>
      </c>
      <c r="O217" s="37">
        <v>0</v>
      </c>
      <c r="P217" s="37">
        <v>99000</v>
      </c>
      <c r="Q217" s="37">
        <v>2.4333333333333332E-2</v>
      </c>
      <c r="R217" s="37">
        <v>2.4333333333333332E-2</v>
      </c>
      <c r="S217" s="37">
        <v>2.4333333333333332E-2</v>
      </c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</row>
    <row r="218" spans="1:37" x14ac:dyDescent="0.15">
      <c r="A218" s="210"/>
      <c r="B218" s="37" t="s">
        <v>88</v>
      </c>
      <c r="C218" s="37">
        <v>0</v>
      </c>
      <c r="D218" s="37">
        <v>0.35</v>
      </c>
      <c r="E218" s="37">
        <v>0</v>
      </c>
      <c r="F218" s="37">
        <v>0.14499999999999999</v>
      </c>
      <c r="G218" s="37">
        <v>0</v>
      </c>
      <c r="H218" s="8">
        <v>0</v>
      </c>
      <c r="I218" s="37">
        <v>0</v>
      </c>
      <c r="J218" s="37">
        <v>0</v>
      </c>
      <c r="K218" s="37">
        <v>0.125</v>
      </c>
      <c r="L218" s="37">
        <v>0</v>
      </c>
      <c r="M218" s="37">
        <v>0</v>
      </c>
      <c r="N218" s="37">
        <v>99000</v>
      </c>
      <c r="O218" s="37">
        <v>0</v>
      </c>
      <c r="P218" s="37">
        <v>99000</v>
      </c>
      <c r="Q218" s="37">
        <v>0</v>
      </c>
      <c r="R218" s="37">
        <v>0</v>
      </c>
      <c r="S218" s="37">
        <v>0</v>
      </c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</row>
    <row r="219" spans="1:37" x14ac:dyDescent="0.15">
      <c r="A219" s="210"/>
      <c r="B219" s="37" t="s">
        <v>303</v>
      </c>
      <c r="C219" s="37">
        <v>2.2349999999999999</v>
      </c>
      <c r="D219" s="37">
        <v>0</v>
      </c>
      <c r="E219" s="37">
        <v>0</v>
      </c>
      <c r="F219" s="37">
        <v>0</v>
      </c>
      <c r="G219" s="37">
        <v>0</v>
      </c>
      <c r="H219" s="8">
        <v>0</v>
      </c>
      <c r="I219" s="37">
        <v>0.59599999999999997</v>
      </c>
      <c r="J219" s="37">
        <v>0.502</v>
      </c>
      <c r="K219" s="37">
        <v>8.2000000000000003E-2</v>
      </c>
      <c r="L219" s="37">
        <v>33.067999999999998</v>
      </c>
      <c r="M219" s="37">
        <v>0</v>
      </c>
      <c r="N219" s="37">
        <v>99000</v>
      </c>
      <c r="O219" s="37">
        <v>1.7329999999999999</v>
      </c>
      <c r="P219" s="37">
        <v>99000</v>
      </c>
      <c r="Q219" s="37">
        <v>0</v>
      </c>
      <c r="R219" s="37">
        <v>0</v>
      </c>
      <c r="S219" s="37">
        <v>0</v>
      </c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</row>
    <row r="220" spans="1:37" x14ac:dyDescent="0.15">
      <c r="A220" s="210"/>
      <c r="B220" s="37" t="s">
        <v>86</v>
      </c>
      <c r="C220" s="37">
        <v>10.703000000000001</v>
      </c>
      <c r="D220" s="37">
        <v>0</v>
      </c>
      <c r="E220" s="37">
        <v>0</v>
      </c>
      <c r="F220" s="37">
        <v>2.294</v>
      </c>
      <c r="G220" s="37">
        <v>0</v>
      </c>
      <c r="H220" s="8">
        <v>0</v>
      </c>
      <c r="I220" s="37">
        <v>1.8940000000000001</v>
      </c>
      <c r="J220" s="37">
        <v>2.02</v>
      </c>
      <c r="K220" s="37">
        <v>1.048</v>
      </c>
      <c r="L220" s="37">
        <v>6.4339999999999993</v>
      </c>
      <c r="M220" s="37">
        <v>0</v>
      </c>
      <c r="N220" s="37">
        <v>99000</v>
      </c>
      <c r="O220" s="37">
        <v>2.363</v>
      </c>
      <c r="P220" s="37">
        <v>99000</v>
      </c>
      <c r="Q220" s="37">
        <v>3.1343333333333336</v>
      </c>
      <c r="R220" s="37">
        <v>3.1343333333333336</v>
      </c>
      <c r="S220" s="37">
        <v>3.1343333333333336</v>
      </c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</row>
    <row r="221" spans="1:37" x14ac:dyDescent="0.15">
      <c r="A221" s="210"/>
      <c r="B221" s="37" t="s">
        <v>85</v>
      </c>
      <c r="C221" s="37">
        <v>4.6889999999999992</v>
      </c>
      <c r="D221" s="37">
        <v>0</v>
      </c>
      <c r="E221" s="37">
        <v>0</v>
      </c>
      <c r="F221" s="37">
        <v>2.5249999999999999</v>
      </c>
      <c r="G221" s="37">
        <v>0.24099999999999999</v>
      </c>
      <c r="H221" s="8">
        <v>0</v>
      </c>
      <c r="I221" s="37">
        <v>0</v>
      </c>
      <c r="J221" s="37">
        <v>1.641</v>
      </c>
      <c r="K221" s="37">
        <v>1.5629999999999999</v>
      </c>
      <c r="L221" s="37">
        <v>0</v>
      </c>
      <c r="M221" s="37">
        <v>0</v>
      </c>
      <c r="N221" s="37">
        <v>99000</v>
      </c>
      <c r="O221" s="37">
        <v>0</v>
      </c>
      <c r="P221" s="37">
        <v>99000</v>
      </c>
      <c r="Q221" s="37">
        <v>0.36066666666666669</v>
      </c>
      <c r="R221" s="37">
        <v>0.36066666666666669</v>
      </c>
      <c r="S221" s="37">
        <v>0.36066666666666669</v>
      </c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</row>
    <row r="222" spans="1:37" x14ac:dyDescent="0.15">
      <c r="A222" s="210"/>
      <c r="B222" s="37" t="s">
        <v>84</v>
      </c>
      <c r="C222" s="37">
        <v>5.24</v>
      </c>
      <c r="D222" s="37">
        <v>0</v>
      </c>
      <c r="E222" s="37">
        <v>0</v>
      </c>
      <c r="F222" s="37">
        <v>1.0720000000000001</v>
      </c>
      <c r="G222" s="37">
        <v>0</v>
      </c>
      <c r="H222" s="8">
        <v>0</v>
      </c>
      <c r="I222" s="37">
        <v>1.4950000000000001</v>
      </c>
      <c r="J222" s="37">
        <v>0.86399999999999999</v>
      </c>
      <c r="K222" s="37">
        <v>0.64600000000000002</v>
      </c>
      <c r="L222" s="37">
        <v>3.6180000000000003</v>
      </c>
      <c r="M222" s="37">
        <v>0</v>
      </c>
      <c r="N222" s="37">
        <v>99000</v>
      </c>
      <c r="O222" s="37">
        <v>1.3290000000000002</v>
      </c>
      <c r="P222" s="37">
        <v>99000</v>
      </c>
      <c r="Q222" s="37">
        <v>1.2886666666666666</v>
      </c>
      <c r="R222" s="37">
        <v>1.2886666666666666</v>
      </c>
      <c r="S222" s="37">
        <v>1.2886666666666666</v>
      </c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</row>
    <row r="223" spans="1:37" x14ac:dyDescent="0.15">
      <c r="A223" s="210"/>
      <c r="B223" s="37" t="s">
        <v>131</v>
      </c>
      <c r="C223" s="37">
        <v>0</v>
      </c>
      <c r="D223" s="37">
        <v>9.8089999999999993</v>
      </c>
      <c r="E223" s="37">
        <v>1.1540000000000001</v>
      </c>
      <c r="F223" s="37">
        <v>0.57700000000000007</v>
      </c>
      <c r="G223" s="37">
        <v>0</v>
      </c>
      <c r="H223" s="8">
        <v>0</v>
      </c>
      <c r="I223" s="37">
        <v>6.0000000000000005E-2</v>
      </c>
      <c r="J223" s="37">
        <v>0</v>
      </c>
      <c r="K223" s="37">
        <v>0</v>
      </c>
      <c r="L223" s="37">
        <v>0</v>
      </c>
      <c r="M223" s="37">
        <v>9.8089999999999993</v>
      </c>
      <c r="N223" s="37">
        <v>99000</v>
      </c>
      <c r="O223" s="37">
        <v>0.20799999999999999</v>
      </c>
      <c r="P223" s="37">
        <v>99000</v>
      </c>
      <c r="Q223" s="37">
        <v>9.2333333333333337E-2</v>
      </c>
      <c r="R223" s="37">
        <v>9.2333333333333337E-2</v>
      </c>
      <c r="S223" s="37">
        <v>9.2333333333333337E-2</v>
      </c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</row>
    <row r="224" spans="1:37" x14ac:dyDescent="0.15">
      <c r="A224" s="210"/>
      <c r="B224" s="37" t="s">
        <v>132</v>
      </c>
      <c r="C224" s="37">
        <v>0</v>
      </c>
      <c r="D224" s="37">
        <v>3.516</v>
      </c>
      <c r="E224" s="37">
        <v>1.7249999999999999</v>
      </c>
      <c r="F224" s="37">
        <v>0.75</v>
      </c>
      <c r="G224" s="37">
        <v>0</v>
      </c>
      <c r="H224" s="8">
        <v>0</v>
      </c>
      <c r="I224" s="37">
        <v>2</v>
      </c>
      <c r="J224" s="37">
        <v>0</v>
      </c>
      <c r="K224" s="37">
        <v>0</v>
      </c>
      <c r="L224" s="37">
        <v>6</v>
      </c>
      <c r="M224" s="37">
        <v>3.4529999999999998</v>
      </c>
      <c r="N224" s="37">
        <v>99000</v>
      </c>
      <c r="O224" s="37">
        <v>0.311</v>
      </c>
      <c r="P224" s="37">
        <v>99000</v>
      </c>
      <c r="Q224" s="37">
        <v>0.13799999999999998</v>
      </c>
      <c r="R224" s="37">
        <v>0.13799999999999998</v>
      </c>
      <c r="S224" s="37">
        <v>0.13799999999999998</v>
      </c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</row>
    <row r="225" spans="1:37" x14ac:dyDescent="0.15">
      <c r="A225" s="210"/>
      <c r="B225" s="37" t="s">
        <v>83</v>
      </c>
      <c r="C225" s="37">
        <v>0</v>
      </c>
      <c r="D225" s="37">
        <v>0</v>
      </c>
      <c r="E225" s="37">
        <v>9.5000000000000001E-2</v>
      </c>
      <c r="F225" s="37">
        <v>0.2</v>
      </c>
      <c r="G225" s="37">
        <v>6.2E-2</v>
      </c>
      <c r="H225" s="8">
        <v>0</v>
      </c>
      <c r="I225" s="37">
        <v>0</v>
      </c>
      <c r="J225" s="37">
        <v>0</v>
      </c>
      <c r="K225" s="37">
        <v>5.8000000000000003E-2</v>
      </c>
      <c r="L225" s="37">
        <v>0</v>
      </c>
      <c r="M225" s="37">
        <v>0</v>
      </c>
      <c r="N225" s="37">
        <v>99000</v>
      </c>
      <c r="O225" s="37">
        <v>0</v>
      </c>
      <c r="P225" s="37">
        <v>99000</v>
      </c>
      <c r="Q225" s="37">
        <v>1.2333333333333335E-2</v>
      </c>
      <c r="R225" s="37">
        <v>1.2333333333333335E-2</v>
      </c>
      <c r="S225" s="37">
        <v>1.2333333333333335E-2</v>
      </c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</row>
    <row r="226" spans="1:37" x14ac:dyDescent="0.15">
      <c r="A226" s="210"/>
      <c r="B226" s="37" t="s">
        <v>82</v>
      </c>
      <c r="C226" s="37">
        <v>0</v>
      </c>
      <c r="D226" s="37">
        <v>0</v>
      </c>
      <c r="E226" s="37">
        <v>0</v>
      </c>
      <c r="F226" s="37">
        <v>0.66600000000000004</v>
      </c>
      <c r="G226" s="37">
        <v>0</v>
      </c>
      <c r="H226" s="8">
        <v>0</v>
      </c>
      <c r="I226" s="37">
        <v>0</v>
      </c>
      <c r="J226" s="37">
        <v>0</v>
      </c>
      <c r="K226" s="37">
        <v>0.66600000000000004</v>
      </c>
      <c r="L226" s="37">
        <v>5.6660000000000004</v>
      </c>
      <c r="M226" s="37">
        <v>0</v>
      </c>
      <c r="N226" s="37">
        <v>99000</v>
      </c>
      <c r="O226" s="37">
        <v>0</v>
      </c>
      <c r="P226" s="37">
        <v>99000</v>
      </c>
      <c r="Q226" s="37">
        <v>0</v>
      </c>
      <c r="R226" s="37">
        <v>0</v>
      </c>
      <c r="S226" s="37">
        <v>0</v>
      </c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</row>
    <row r="227" spans="1:37" x14ac:dyDescent="0.15">
      <c r="A227" s="210"/>
      <c r="B227" s="37" t="s">
        <v>272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8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99000</v>
      </c>
      <c r="O227" s="37">
        <v>0</v>
      </c>
      <c r="P227" s="37">
        <v>99000</v>
      </c>
      <c r="Q227" s="37">
        <v>0</v>
      </c>
      <c r="R227" s="37">
        <v>0</v>
      </c>
      <c r="S227" s="37">
        <v>0</v>
      </c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</row>
    <row r="228" spans="1:37" x14ac:dyDescent="0.15">
      <c r="A228" s="210"/>
      <c r="B228" s="37" t="s">
        <v>273</v>
      </c>
      <c r="C228" s="37">
        <v>0</v>
      </c>
      <c r="D228" s="37">
        <v>0.375</v>
      </c>
      <c r="E228" s="37">
        <v>0.7</v>
      </c>
      <c r="F228" s="37">
        <v>0</v>
      </c>
      <c r="G228" s="37">
        <v>0</v>
      </c>
      <c r="H228" s="8">
        <v>0</v>
      </c>
      <c r="I228" s="37">
        <v>2</v>
      </c>
      <c r="J228" s="37">
        <v>0</v>
      </c>
      <c r="K228" s="37">
        <v>0</v>
      </c>
      <c r="L228" s="37">
        <v>13.75</v>
      </c>
      <c r="M228" s="37">
        <v>0.375</v>
      </c>
      <c r="N228" s="37">
        <v>99000</v>
      </c>
      <c r="O228" s="37">
        <v>0.126</v>
      </c>
      <c r="P228" s="37">
        <v>99000</v>
      </c>
      <c r="Q228" s="37">
        <v>5.6000000000000001E-2</v>
      </c>
      <c r="R228" s="37">
        <v>5.6000000000000001E-2</v>
      </c>
      <c r="S228" s="37">
        <v>5.6000000000000001E-2</v>
      </c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</row>
    <row r="229" spans="1:37" x14ac:dyDescent="0.15">
      <c r="A229" s="210"/>
      <c r="B229" s="37" t="s">
        <v>274</v>
      </c>
      <c r="C229" s="37">
        <v>4.1349999999999998</v>
      </c>
      <c r="D229" s="37">
        <v>0</v>
      </c>
      <c r="E229" s="37">
        <v>0</v>
      </c>
      <c r="F229" s="37">
        <v>0</v>
      </c>
      <c r="G229" s="37">
        <v>0</v>
      </c>
      <c r="H229" s="8">
        <v>0</v>
      </c>
      <c r="I229" s="37">
        <v>0</v>
      </c>
      <c r="J229" s="37">
        <v>0</v>
      </c>
      <c r="K229" s="37">
        <v>4.1999999999999996E-2</v>
      </c>
      <c r="L229" s="37">
        <v>0</v>
      </c>
      <c r="M229" s="37">
        <v>0</v>
      </c>
      <c r="N229" s="37">
        <v>99000</v>
      </c>
      <c r="O229" s="37">
        <v>4.1349999999999998</v>
      </c>
      <c r="P229" s="37">
        <v>99000</v>
      </c>
      <c r="Q229" s="37">
        <v>0</v>
      </c>
      <c r="R229" s="37">
        <v>0</v>
      </c>
      <c r="S229" s="37">
        <v>0</v>
      </c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</row>
    <row r="230" spans="1:37" x14ac:dyDescent="0.15">
      <c r="A230" s="210"/>
      <c r="B230" s="37" t="s">
        <v>275</v>
      </c>
      <c r="C230" s="37">
        <v>8.5520000000000014</v>
      </c>
      <c r="D230" s="37">
        <v>0</v>
      </c>
      <c r="E230" s="37">
        <v>0</v>
      </c>
      <c r="F230" s="37">
        <v>1.4259999999999999</v>
      </c>
      <c r="G230" s="37">
        <v>0</v>
      </c>
      <c r="H230" s="8">
        <v>0</v>
      </c>
      <c r="I230" s="37">
        <v>1.782</v>
      </c>
      <c r="J230" s="37">
        <v>1.3680000000000001</v>
      </c>
      <c r="K230" s="37">
        <v>0.71299999999999997</v>
      </c>
      <c r="L230" s="37">
        <v>6.0549999999999997</v>
      </c>
      <c r="M230" s="37">
        <v>0</v>
      </c>
      <c r="N230" s="37">
        <v>99000</v>
      </c>
      <c r="O230" s="37">
        <v>0.97021841052029734</v>
      </c>
      <c r="P230" s="37">
        <v>99000</v>
      </c>
      <c r="Q230" s="37">
        <v>2.157</v>
      </c>
      <c r="R230" s="37">
        <v>2.157</v>
      </c>
      <c r="S230" s="37">
        <v>2.157</v>
      </c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</row>
    <row r="231" spans="1:37" x14ac:dyDescent="0.15">
      <c r="A231" s="210"/>
      <c r="B231" s="37" t="s">
        <v>309</v>
      </c>
      <c r="C231" s="37">
        <v>4.8979999999999997</v>
      </c>
      <c r="D231" s="37">
        <v>0</v>
      </c>
      <c r="E231" s="37">
        <v>0</v>
      </c>
      <c r="F231" s="37">
        <v>0.81700000000000006</v>
      </c>
      <c r="G231" s="37">
        <v>0</v>
      </c>
      <c r="H231" s="8">
        <v>0</v>
      </c>
      <c r="I231" s="37">
        <v>1.0209999999999999</v>
      </c>
      <c r="J231" s="37">
        <v>0.78400000000000003</v>
      </c>
      <c r="K231" s="37">
        <v>0.40799999999999997</v>
      </c>
      <c r="L231" s="37">
        <v>3.468</v>
      </c>
      <c r="M231" s="37">
        <v>0</v>
      </c>
      <c r="N231" s="37">
        <v>99000</v>
      </c>
      <c r="O231" s="37">
        <v>0.55578158947970269</v>
      </c>
      <c r="P231" s="37">
        <v>99000</v>
      </c>
      <c r="Q231" s="37">
        <v>1.2353333333333334</v>
      </c>
      <c r="R231" s="37">
        <v>1.2353333333333334</v>
      </c>
      <c r="S231" s="37">
        <v>1.2353333333333334</v>
      </c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</row>
    <row r="232" spans="1:37" x14ac:dyDescent="0.15">
      <c r="A232" s="210"/>
      <c r="B232" s="1" t="s">
        <v>283</v>
      </c>
      <c r="C232" s="37">
        <f t="shared" ref="C232:S232" si="0">C42</f>
        <v>99000</v>
      </c>
      <c r="D232" s="37">
        <f t="shared" si="0"/>
        <v>99000</v>
      </c>
      <c r="E232" s="37">
        <f t="shared" si="0"/>
        <v>99000</v>
      </c>
      <c r="F232" s="37">
        <f t="shared" si="0"/>
        <v>99000</v>
      </c>
      <c r="G232" s="37">
        <f t="shared" si="0"/>
        <v>99000</v>
      </c>
      <c r="H232" s="37">
        <f t="shared" si="0"/>
        <v>99000</v>
      </c>
      <c r="I232" s="37">
        <f t="shared" si="0"/>
        <v>99000</v>
      </c>
      <c r="J232" s="37">
        <f t="shared" si="0"/>
        <v>0.79699999999999993</v>
      </c>
      <c r="K232" s="37">
        <f t="shared" si="0"/>
        <v>99000</v>
      </c>
      <c r="L232" s="37">
        <f t="shared" si="0"/>
        <v>0</v>
      </c>
      <c r="M232" s="37">
        <f t="shared" si="0"/>
        <v>99000</v>
      </c>
      <c r="N232" s="37">
        <v>99000</v>
      </c>
      <c r="O232" s="37">
        <f t="shared" si="0"/>
        <v>99000</v>
      </c>
      <c r="P232" s="37">
        <f t="shared" si="0"/>
        <v>99000</v>
      </c>
      <c r="Q232" s="37">
        <f t="shared" si="0"/>
        <v>99000</v>
      </c>
      <c r="R232" s="37">
        <f t="shared" si="0"/>
        <v>99000</v>
      </c>
      <c r="S232" s="37">
        <f t="shared" si="0"/>
        <v>99000</v>
      </c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5"/>
      <c r="AK232" s="235"/>
    </row>
    <row r="233" spans="1:37" x14ac:dyDescent="0.15">
      <c r="A233" s="210"/>
      <c r="B233" s="1" t="s">
        <v>284</v>
      </c>
      <c r="C233" s="37">
        <f t="shared" ref="C233:S233" si="1">C43</f>
        <v>99000</v>
      </c>
      <c r="D233" s="37">
        <f t="shared" si="1"/>
        <v>99000</v>
      </c>
      <c r="E233" s="37">
        <f t="shared" si="1"/>
        <v>99000</v>
      </c>
      <c r="F233" s="37">
        <f t="shared" si="1"/>
        <v>99000</v>
      </c>
      <c r="G233" s="37">
        <f t="shared" si="1"/>
        <v>99000</v>
      </c>
      <c r="H233" s="37">
        <f t="shared" si="1"/>
        <v>99000</v>
      </c>
      <c r="I233" s="37">
        <f t="shared" si="1"/>
        <v>99000</v>
      </c>
      <c r="J233" s="37">
        <f t="shared" si="1"/>
        <v>14.607999999999999</v>
      </c>
      <c r="K233" s="37">
        <f t="shared" si="1"/>
        <v>99000</v>
      </c>
      <c r="L233" s="37">
        <f t="shared" si="1"/>
        <v>0</v>
      </c>
      <c r="M233" s="37">
        <f t="shared" si="1"/>
        <v>99000</v>
      </c>
      <c r="N233" s="37">
        <v>99000</v>
      </c>
      <c r="O233" s="37">
        <f t="shared" si="1"/>
        <v>99000</v>
      </c>
      <c r="P233" s="37">
        <f t="shared" si="1"/>
        <v>99000</v>
      </c>
      <c r="Q233" s="37">
        <f t="shared" si="1"/>
        <v>99000</v>
      </c>
      <c r="R233" s="37">
        <f t="shared" si="1"/>
        <v>99000</v>
      </c>
      <c r="S233" s="37">
        <f t="shared" si="1"/>
        <v>99000</v>
      </c>
      <c r="U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  <c r="AH233" s="235"/>
      <c r="AI233" s="235"/>
      <c r="AJ233" s="235"/>
      <c r="AK233" s="235"/>
    </row>
    <row r="234" spans="1:37" x14ac:dyDescent="0.15">
      <c r="A234" s="210"/>
      <c r="B234" t="s">
        <v>285</v>
      </c>
      <c r="C234" s="37">
        <f t="shared" ref="C234:S234" si="2">C44</f>
        <v>99000</v>
      </c>
      <c r="D234" s="37">
        <f t="shared" si="2"/>
        <v>99000</v>
      </c>
      <c r="E234" s="37">
        <f t="shared" si="2"/>
        <v>99000</v>
      </c>
      <c r="F234" s="37">
        <f t="shared" si="2"/>
        <v>99000</v>
      </c>
      <c r="G234" s="37">
        <f t="shared" si="2"/>
        <v>99000</v>
      </c>
      <c r="H234" s="37">
        <f t="shared" si="2"/>
        <v>99000</v>
      </c>
      <c r="I234" s="37">
        <f t="shared" si="2"/>
        <v>99000</v>
      </c>
      <c r="J234" s="37">
        <f t="shared" si="2"/>
        <v>113.008</v>
      </c>
      <c r="K234" s="37">
        <f t="shared" si="2"/>
        <v>99000</v>
      </c>
      <c r="L234" s="37">
        <f t="shared" si="2"/>
        <v>0</v>
      </c>
      <c r="M234" s="37">
        <f t="shared" si="2"/>
        <v>99000</v>
      </c>
      <c r="N234" s="37">
        <v>99000</v>
      </c>
      <c r="O234" s="37">
        <f t="shared" si="2"/>
        <v>99000</v>
      </c>
      <c r="P234" s="37">
        <f t="shared" si="2"/>
        <v>99000</v>
      </c>
      <c r="Q234" s="37">
        <f t="shared" si="2"/>
        <v>99000</v>
      </c>
      <c r="R234" s="37">
        <f t="shared" si="2"/>
        <v>99000</v>
      </c>
      <c r="S234" s="37">
        <f t="shared" si="2"/>
        <v>99000</v>
      </c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</row>
    <row r="235" spans="1:37" x14ac:dyDescent="0.15">
      <c r="A235" s="210"/>
      <c r="B235" t="s">
        <v>286</v>
      </c>
      <c r="C235" s="37">
        <f t="shared" ref="C235:S235" si="3">C45</f>
        <v>99000</v>
      </c>
      <c r="D235" s="37">
        <f t="shared" si="3"/>
        <v>99000</v>
      </c>
      <c r="E235" s="37">
        <f t="shared" si="3"/>
        <v>99000</v>
      </c>
      <c r="F235" s="37">
        <f t="shared" si="3"/>
        <v>99000</v>
      </c>
      <c r="G235" s="37">
        <f t="shared" si="3"/>
        <v>99000</v>
      </c>
      <c r="H235" s="37">
        <f t="shared" si="3"/>
        <v>99000</v>
      </c>
      <c r="I235" s="37">
        <f t="shared" si="3"/>
        <v>99000</v>
      </c>
      <c r="J235" s="37">
        <f t="shared" si="3"/>
        <v>1.359</v>
      </c>
      <c r="K235" s="37">
        <f t="shared" si="3"/>
        <v>99000</v>
      </c>
      <c r="L235" s="37">
        <f t="shared" si="3"/>
        <v>0</v>
      </c>
      <c r="M235" s="37">
        <f t="shared" si="3"/>
        <v>99000</v>
      </c>
      <c r="N235" s="37">
        <v>99000</v>
      </c>
      <c r="O235" s="37">
        <f t="shared" si="3"/>
        <v>99000</v>
      </c>
      <c r="P235" s="37">
        <f t="shared" si="3"/>
        <v>99000</v>
      </c>
      <c r="Q235" s="37">
        <f t="shared" si="3"/>
        <v>99000</v>
      </c>
      <c r="R235" s="37">
        <f t="shared" si="3"/>
        <v>99000</v>
      </c>
      <c r="S235" s="37">
        <f t="shared" si="3"/>
        <v>99000</v>
      </c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</row>
    <row r="236" spans="1:37" x14ac:dyDescent="0.15">
      <c r="A236" s="210"/>
      <c r="B236" t="s">
        <v>287</v>
      </c>
      <c r="C236" s="37">
        <f t="shared" ref="C236:S236" si="4">C46</f>
        <v>99000</v>
      </c>
      <c r="D236" s="37">
        <f t="shared" si="4"/>
        <v>99000</v>
      </c>
      <c r="E236" s="37">
        <f t="shared" si="4"/>
        <v>99000</v>
      </c>
      <c r="F236" s="37">
        <f t="shared" si="4"/>
        <v>99000</v>
      </c>
      <c r="G236" s="37">
        <f t="shared" si="4"/>
        <v>99000</v>
      </c>
      <c r="H236" s="37">
        <f t="shared" si="4"/>
        <v>99000</v>
      </c>
      <c r="I236" s="37">
        <f t="shared" si="4"/>
        <v>99000</v>
      </c>
      <c r="J236" s="37">
        <f t="shared" si="4"/>
        <v>5.0489999999999995</v>
      </c>
      <c r="K236" s="37">
        <f t="shared" si="4"/>
        <v>99000</v>
      </c>
      <c r="L236" s="37">
        <f t="shared" si="4"/>
        <v>0</v>
      </c>
      <c r="M236" s="37">
        <f t="shared" si="4"/>
        <v>99000</v>
      </c>
      <c r="N236" s="37">
        <v>99000</v>
      </c>
      <c r="O236" s="37">
        <f t="shared" si="4"/>
        <v>99000</v>
      </c>
      <c r="P236" s="37">
        <f t="shared" si="4"/>
        <v>99000</v>
      </c>
      <c r="Q236" s="37">
        <f t="shared" si="4"/>
        <v>99000</v>
      </c>
      <c r="R236" s="37">
        <f t="shared" si="4"/>
        <v>99000</v>
      </c>
      <c r="S236" s="37">
        <f t="shared" si="4"/>
        <v>99000</v>
      </c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</row>
    <row r="237" spans="1:37" x14ac:dyDescent="0.15">
      <c r="A237" s="210"/>
      <c r="B237" t="s">
        <v>288</v>
      </c>
      <c r="C237" s="37">
        <f t="shared" ref="C237:S237" si="5">C47</f>
        <v>99000</v>
      </c>
      <c r="D237" s="37">
        <f t="shared" si="5"/>
        <v>99000</v>
      </c>
      <c r="E237" s="37">
        <f t="shared" si="5"/>
        <v>99000</v>
      </c>
      <c r="F237" s="37">
        <f t="shared" si="5"/>
        <v>99000</v>
      </c>
      <c r="G237" s="37">
        <f t="shared" si="5"/>
        <v>99000</v>
      </c>
      <c r="H237" s="37">
        <f t="shared" si="5"/>
        <v>99000</v>
      </c>
      <c r="I237" s="37">
        <f t="shared" si="5"/>
        <v>99000</v>
      </c>
      <c r="J237" s="37">
        <f t="shared" si="5"/>
        <v>8.0860000000000003</v>
      </c>
      <c r="K237" s="37">
        <f t="shared" si="5"/>
        <v>99000</v>
      </c>
      <c r="L237" s="37">
        <f t="shared" si="5"/>
        <v>0</v>
      </c>
      <c r="M237" s="37">
        <f t="shared" si="5"/>
        <v>99000</v>
      </c>
      <c r="N237" s="37">
        <v>99000</v>
      </c>
      <c r="O237" s="37">
        <f t="shared" si="5"/>
        <v>99000</v>
      </c>
      <c r="P237" s="37">
        <f t="shared" si="5"/>
        <v>99000</v>
      </c>
      <c r="Q237" s="37">
        <f t="shared" si="5"/>
        <v>99000</v>
      </c>
      <c r="R237" s="37">
        <f t="shared" si="5"/>
        <v>99000</v>
      </c>
      <c r="S237" s="37">
        <f t="shared" si="5"/>
        <v>99000</v>
      </c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</row>
    <row r="238" spans="1:37" x14ac:dyDescent="0.15">
      <c r="A238" s="210"/>
      <c r="B238" t="s">
        <v>289</v>
      </c>
      <c r="C238" s="37">
        <f t="shared" ref="C238:S238" si="6">C48</f>
        <v>99000</v>
      </c>
      <c r="D238" s="37">
        <f t="shared" si="6"/>
        <v>99000</v>
      </c>
      <c r="E238" s="37">
        <f t="shared" si="6"/>
        <v>99000</v>
      </c>
      <c r="F238" s="37">
        <f t="shared" si="6"/>
        <v>99000</v>
      </c>
      <c r="G238" s="37">
        <f t="shared" si="6"/>
        <v>99000</v>
      </c>
      <c r="H238" s="37">
        <f t="shared" si="6"/>
        <v>99000</v>
      </c>
      <c r="I238" s="37">
        <f t="shared" si="6"/>
        <v>99000</v>
      </c>
      <c r="J238" s="37">
        <f t="shared" si="6"/>
        <v>13.610000000000001</v>
      </c>
      <c r="K238" s="37">
        <f t="shared" si="6"/>
        <v>99000</v>
      </c>
      <c r="L238" s="37">
        <f t="shared" si="6"/>
        <v>0</v>
      </c>
      <c r="M238" s="37">
        <f t="shared" si="6"/>
        <v>99000</v>
      </c>
      <c r="N238" s="37">
        <v>99000</v>
      </c>
      <c r="O238" s="37">
        <f t="shared" si="6"/>
        <v>99000</v>
      </c>
      <c r="P238" s="37">
        <f t="shared" si="6"/>
        <v>99000</v>
      </c>
      <c r="Q238" s="37">
        <f t="shared" si="6"/>
        <v>99000</v>
      </c>
      <c r="R238" s="37">
        <f t="shared" si="6"/>
        <v>99000</v>
      </c>
      <c r="S238" s="37">
        <f t="shared" si="6"/>
        <v>99000</v>
      </c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  <c r="AI238" s="235"/>
      <c r="AJ238" s="235"/>
      <c r="AK238" s="235"/>
    </row>
    <row r="239" spans="1:37" x14ac:dyDescent="0.15">
      <c r="A239" s="210"/>
      <c r="B239" t="s">
        <v>306</v>
      </c>
      <c r="C239" s="37">
        <f t="shared" ref="C239:S239" si="7">C49</f>
        <v>99000</v>
      </c>
      <c r="D239" s="37">
        <f t="shared" si="7"/>
        <v>99000</v>
      </c>
      <c r="E239" s="37">
        <f t="shared" si="7"/>
        <v>99000</v>
      </c>
      <c r="F239" s="37">
        <f t="shared" si="7"/>
        <v>99000</v>
      </c>
      <c r="G239" s="37">
        <f t="shared" si="7"/>
        <v>99000</v>
      </c>
      <c r="H239" s="37">
        <f t="shared" si="7"/>
        <v>99000</v>
      </c>
      <c r="I239" s="37">
        <f t="shared" si="7"/>
        <v>99000</v>
      </c>
      <c r="J239" s="37">
        <f t="shared" si="7"/>
        <v>5.5779999999999994</v>
      </c>
      <c r="K239" s="37">
        <f t="shared" si="7"/>
        <v>99000</v>
      </c>
      <c r="L239" s="37">
        <f t="shared" si="7"/>
        <v>0</v>
      </c>
      <c r="M239" s="37">
        <f t="shared" si="7"/>
        <v>99000</v>
      </c>
      <c r="N239" s="37">
        <v>99000</v>
      </c>
      <c r="O239" s="37">
        <f t="shared" si="7"/>
        <v>99000</v>
      </c>
      <c r="P239" s="37">
        <f t="shared" si="7"/>
        <v>99000</v>
      </c>
      <c r="Q239" s="37">
        <f t="shared" si="7"/>
        <v>99000</v>
      </c>
      <c r="R239" s="37">
        <f t="shared" si="7"/>
        <v>99000</v>
      </c>
      <c r="S239" s="37">
        <f t="shared" si="7"/>
        <v>99000</v>
      </c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35"/>
      <c r="AJ239" s="235"/>
      <c r="AK239" s="235"/>
    </row>
    <row r="240" spans="1:37" x14ac:dyDescent="0.15">
      <c r="A240" s="210"/>
      <c r="B240" t="s">
        <v>290</v>
      </c>
      <c r="C240" s="37">
        <f t="shared" ref="C240:S240" si="8">C50</f>
        <v>99000</v>
      </c>
      <c r="D240" s="37">
        <f t="shared" si="8"/>
        <v>99000</v>
      </c>
      <c r="E240" s="37">
        <f t="shared" si="8"/>
        <v>99000</v>
      </c>
      <c r="F240" s="37">
        <f t="shared" si="8"/>
        <v>99000</v>
      </c>
      <c r="G240" s="37">
        <f t="shared" si="8"/>
        <v>99000</v>
      </c>
      <c r="H240" s="37">
        <f t="shared" si="8"/>
        <v>99000</v>
      </c>
      <c r="I240" s="37">
        <f t="shared" si="8"/>
        <v>99000</v>
      </c>
      <c r="J240" s="37">
        <f t="shared" si="8"/>
        <v>0.82399999999999995</v>
      </c>
      <c r="K240" s="37">
        <f t="shared" si="8"/>
        <v>99000</v>
      </c>
      <c r="L240" s="37">
        <f t="shared" si="8"/>
        <v>0</v>
      </c>
      <c r="M240" s="37">
        <f t="shared" si="8"/>
        <v>99000</v>
      </c>
      <c r="N240" s="37">
        <v>99000</v>
      </c>
      <c r="O240" s="37">
        <f t="shared" si="8"/>
        <v>99000</v>
      </c>
      <c r="P240" s="37">
        <f t="shared" si="8"/>
        <v>99000</v>
      </c>
      <c r="Q240" s="37">
        <f t="shared" si="8"/>
        <v>99000</v>
      </c>
      <c r="R240" s="37">
        <f t="shared" si="8"/>
        <v>99000</v>
      </c>
      <c r="S240" s="37">
        <f t="shared" si="8"/>
        <v>99000</v>
      </c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</row>
    <row r="241" spans="1:37" x14ac:dyDescent="0.15">
      <c r="A241" s="210"/>
      <c r="B241" t="s">
        <v>291</v>
      </c>
      <c r="C241" s="37">
        <f t="shared" ref="C241:S241" si="9">C51</f>
        <v>99000</v>
      </c>
      <c r="D241" s="37">
        <f t="shared" si="9"/>
        <v>99000</v>
      </c>
      <c r="E241" s="37">
        <f t="shared" si="9"/>
        <v>99000</v>
      </c>
      <c r="F241" s="37">
        <f t="shared" si="9"/>
        <v>99000</v>
      </c>
      <c r="G241" s="37">
        <f t="shared" si="9"/>
        <v>99000</v>
      </c>
      <c r="H241" s="37">
        <f t="shared" si="9"/>
        <v>99000</v>
      </c>
      <c r="I241" s="37">
        <f t="shared" si="9"/>
        <v>99000</v>
      </c>
      <c r="J241" s="37">
        <f t="shared" si="9"/>
        <v>4.04</v>
      </c>
      <c r="K241" s="37">
        <f t="shared" si="9"/>
        <v>99000</v>
      </c>
      <c r="L241" s="37">
        <f t="shared" si="9"/>
        <v>0</v>
      </c>
      <c r="M241" s="37">
        <f t="shared" si="9"/>
        <v>99000</v>
      </c>
      <c r="N241" s="37">
        <v>99000</v>
      </c>
      <c r="O241" s="37">
        <f t="shared" si="9"/>
        <v>99000</v>
      </c>
      <c r="P241" s="37">
        <f t="shared" si="9"/>
        <v>99000</v>
      </c>
      <c r="Q241" s="37">
        <f t="shared" si="9"/>
        <v>99000</v>
      </c>
      <c r="R241" s="37">
        <f t="shared" si="9"/>
        <v>99000</v>
      </c>
      <c r="S241" s="37">
        <f t="shared" si="9"/>
        <v>99000</v>
      </c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</row>
    <row r="242" spans="1:37" x14ac:dyDescent="0.15">
      <c r="A242" s="210"/>
      <c r="B242" t="s">
        <v>293</v>
      </c>
      <c r="C242" s="37">
        <f t="shared" ref="C242:S242" si="10">C52</f>
        <v>99000</v>
      </c>
      <c r="D242" s="37">
        <f t="shared" si="10"/>
        <v>99000</v>
      </c>
      <c r="E242" s="37">
        <f t="shared" si="10"/>
        <v>99000</v>
      </c>
      <c r="F242" s="37">
        <f t="shared" si="10"/>
        <v>99000</v>
      </c>
      <c r="G242" s="37">
        <f t="shared" si="10"/>
        <v>99000</v>
      </c>
      <c r="H242" s="37">
        <f t="shared" si="10"/>
        <v>99000</v>
      </c>
      <c r="I242" s="37">
        <f t="shared" si="10"/>
        <v>99000</v>
      </c>
      <c r="J242" s="37">
        <f t="shared" si="10"/>
        <v>0.124</v>
      </c>
      <c r="K242" s="37">
        <f t="shared" si="10"/>
        <v>99000</v>
      </c>
      <c r="L242" s="37">
        <f t="shared" si="10"/>
        <v>0</v>
      </c>
      <c r="M242" s="37">
        <f t="shared" si="10"/>
        <v>99000</v>
      </c>
      <c r="N242" s="37">
        <v>99000</v>
      </c>
      <c r="O242" s="37">
        <f t="shared" si="10"/>
        <v>99000</v>
      </c>
      <c r="P242" s="37">
        <f t="shared" si="10"/>
        <v>99000</v>
      </c>
      <c r="Q242" s="37">
        <f t="shared" si="10"/>
        <v>99000</v>
      </c>
      <c r="R242" s="37">
        <f t="shared" si="10"/>
        <v>99000</v>
      </c>
      <c r="S242" s="37">
        <f t="shared" si="10"/>
        <v>99000</v>
      </c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</row>
    <row r="243" spans="1:37" x14ac:dyDescent="0.15">
      <c r="A243" s="210"/>
      <c r="B243" t="s">
        <v>292</v>
      </c>
      <c r="C243" s="37">
        <f t="shared" ref="C243:S243" si="11">C53</f>
        <v>99000</v>
      </c>
      <c r="D243" s="37">
        <f t="shared" si="11"/>
        <v>99000</v>
      </c>
      <c r="E243" s="37">
        <f t="shared" si="11"/>
        <v>99000</v>
      </c>
      <c r="F243" s="37">
        <f t="shared" si="11"/>
        <v>99000</v>
      </c>
      <c r="G243" s="37">
        <f t="shared" si="11"/>
        <v>99000</v>
      </c>
      <c r="H243" s="37">
        <f t="shared" si="11"/>
        <v>99000</v>
      </c>
      <c r="I243" s="37">
        <f t="shared" si="11"/>
        <v>99000</v>
      </c>
      <c r="J243" s="37">
        <f t="shared" si="11"/>
        <v>0.126</v>
      </c>
      <c r="K243" s="37">
        <f t="shared" si="11"/>
        <v>99000</v>
      </c>
      <c r="L243" s="37">
        <f t="shared" si="11"/>
        <v>0</v>
      </c>
      <c r="M243" s="37">
        <f t="shared" si="11"/>
        <v>99000</v>
      </c>
      <c r="N243" s="37">
        <v>99000</v>
      </c>
      <c r="O243" s="37">
        <f t="shared" si="11"/>
        <v>99000</v>
      </c>
      <c r="P243" s="37">
        <f t="shared" si="11"/>
        <v>99000</v>
      </c>
      <c r="Q243" s="37">
        <f t="shared" si="11"/>
        <v>99000</v>
      </c>
      <c r="R243" s="37">
        <f t="shared" si="11"/>
        <v>99000</v>
      </c>
      <c r="S243" s="37">
        <f t="shared" si="11"/>
        <v>99000</v>
      </c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</row>
    <row r="244" spans="1:37" x14ac:dyDescent="0.15">
      <c r="A244" s="210"/>
      <c r="B244" t="s">
        <v>294</v>
      </c>
      <c r="C244" s="37">
        <f t="shared" ref="C244:S244" si="12">C54</f>
        <v>99000</v>
      </c>
      <c r="D244" s="37">
        <f t="shared" si="12"/>
        <v>99000</v>
      </c>
      <c r="E244" s="37">
        <f t="shared" si="12"/>
        <v>99000</v>
      </c>
      <c r="F244" s="37">
        <f t="shared" si="12"/>
        <v>99000</v>
      </c>
      <c r="G244" s="37">
        <f t="shared" si="12"/>
        <v>99000</v>
      </c>
      <c r="H244" s="37">
        <f t="shared" si="12"/>
        <v>99000</v>
      </c>
      <c r="I244" s="37">
        <f t="shared" si="12"/>
        <v>99000</v>
      </c>
      <c r="J244" s="37">
        <f t="shared" si="12"/>
        <v>0.26200000000000001</v>
      </c>
      <c r="K244" s="37">
        <f t="shared" si="12"/>
        <v>99000</v>
      </c>
      <c r="L244" s="37">
        <f t="shared" si="12"/>
        <v>0</v>
      </c>
      <c r="M244" s="37">
        <f t="shared" si="12"/>
        <v>99000</v>
      </c>
      <c r="N244" s="37">
        <v>99000</v>
      </c>
      <c r="O244" s="37">
        <f t="shared" si="12"/>
        <v>99000</v>
      </c>
      <c r="P244" s="37">
        <f t="shared" si="12"/>
        <v>99000</v>
      </c>
      <c r="Q244" s="37">
        <f t="shared" si="12"/>
        <v>99000</v>
      </c>
      <c r="R244" s="37">
        <f t="shared" si="12"/>
        <v>99000</v>
      </c>
      <c r="S244" s="37">
        <f t="shared" si="12"/>
        <v>99000</v>
      </c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  <c r="AH244" s="235"/>
      <c r="AI244" s="235"/>
      <c r="AJ244" s="235"/>
      <c r="AK244" s="235"/>
    </row>
    <row r="245" spans="1:37" x14ac:dyDescent="0.15">
      <c r="A245" s="210"/>
      <c r="B245" t="s">
        <v>295</v>
      </c>
      <c r="C245" s="37">
        <f t="shared" ref="C245:S245" si="13">C55</f>
        <v>99000</v>
      </c>
      <c r="D245" s="37">
        <f t="shared" si="13"/>
        <v>99000</v>
      </c>
      <c r="E245" s="37">
        <f t="shared" si="13"/>
        <v>99000</v>
      </c>
      <c r="F245" s="37">
        <f t="shared" si="13"/>
        <v>99000</v>
      </c>
      <c r="G245" s="37">
        <f t="shared" si="13"/>
        <v>99000</v>
      </c>
      <c r="H245" s="37">
        <f t="shared" si="13"/>
        <v>99000</v>
      </c>
      <c r="I245" s="37">
        <f t="shared" si="13"/>
        <v>99000</v>
      </c>
      <c r="J245" s="37">
        <f t="shared" si="13"/>
        <v>3.3000000000000002E-2</v>
      </c>
      <c r="K245" s="37">
        <f t="shared" si="13"/>
        <v>99000</v>
      </c>
      <c r="L245" s="37">
        <f t="shared" si="13"/>
        <v>0</v>
      </c>
      <c r="M245" s="37">
        <f t="shared" si="13"/>
        <v>99000</v>
      </c>
      <c r="N245" s="37">
        <v>99000</v>
      </c>
      <c r="O245" s="37">
        <f t="shared" si="13"/>
        <v>99000</v>
      </c>
      <c r="P245" s="37">
        <f t="shared" si="13"/>
        <v>99000</v>
      </c>
      <c r="Q245" s="37">
        <f t="shared" si="13"/>
        <v>99000</v>
      </c>
      <c r="R245" s="37">
        <f t="shared" si="13"/>
        <v>99000</v>
      </c>
      <c r="S245" s="37">
        <f t="shared" si="13"/>
        <v>99000</v>
      </c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</row>
    <row r="246" spans="1:37" x14ac:dyDescent="0.15">
      <c r="A246" s="210"/>
      <c r="B246" t="s">
        <v>296</v>
      </c>
      <c r="C246" s="37">
        <f t="shared" ref="C246:S246" si="14">C56</f>
        <v>99000</v>
      </c>
      <c r="D246" s="37">
        <f t="shared" si="14"/>
        <v>99000</v>
      </c>
      <c r="E246" s="37">
        <f t="shared" si="14"/>
        <v>99000</v>
      </c>
      <c r="F246" s="37">
        <f t="shared" si="14"/>
        <v>99000</v>
      </c>
      <c r="G246" s="37">
        <f t="shared" si="14"/>
        <v>99000</v>
      </c>
      <c r="H246" s="37">
        <f t="shared" si="14"/>
        <v>99000</v>
      </c>
      <c r="I246" s="37">
        <f t="shared" si="14"/>
        <v>99000</v>
      </c>
      <c r="J246" s="37">
        <f t="shared" si="14"/>
        <v>0</v>
      </c>
      <c r="K246" s="37">
        <f t="shared" si="14"/>
        <v>99000</v>
      </c>
      <c r="L246" s="37">
        <f t="shared" si="14"/>
        <v>0</v>
      </c>
      <c r="M246" s="37">
        <f t="shared" si="14"/>
        <v>99000</v>
      </c>
      <c r="N246" s="37">
        <v>99000</v>
      </c>
      <c r="O246" s="37">
        <f t="shared" si="14"/>
        <v>99000</v>
      </c>
      <c r="P246" s="37">
        <f t="shared" si="14"/>
        <v>99000</v>
      </c>
      <c r="Q246" s="37">
        <f t="shared" si="14"/>
        <v>99000</v>
      </c>
      <c r="R246" s="37">
        <f t="shared" si="14"/>
        <v>99000</v>
      </c>
      <c r="S246" s="37">
        <f t="shared" si="14"/>
        <v>99000</v>
      </c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  <c r="AH246" s="235"/>
      <c r="AI246" s="235"/>
      <c r="AJ246" s="235"/>
      <c r="AK246" s="235"/>
    </row>
    <row r="247" spans="1:37" x14ac:dyDescent="0.15">
      <c r="A247" s="210"/>
      <c r="B247" t="s">
        <v>297</v>
      </c>
      <c r="C247" s="37">
        <f t="shared" ref="C247:S247" si="15">C57</f>
        <v>99000</v>
      </c>
      <c r="D247" s="37">
        <f t="shared" si="15"/>
        <v>99000</v>
      </c>
      <c r="E247" s="37">
        <f t="shared" si="15"/>
        <v>99000</v>
      </c>
      <c r="F247" s="37">
        <f t="shared" si="15"/>
        <v>99000</v>
      </c>
      <c r="G247" s="37">
        <f t="shared" si="15"/>
        <v>99000</v>
      </c>
      <c r="H247" s="37">
        <f t="shared" si="15"/>
        <v>99000</v>
      </c>
      <c r="I247" s="37">
        <f t="shared" si="15"/>
        <v>99000</v>
      </c>
      <c r="J247" s="37">
        <f t="shared" si="15"/>
        <v>14.916</v>
      </c>
      <c r="K247" s="37">
        <f t="shared" si="15"/>
        <v>99000</v>
      </c>
      <c r="L247" s="37">
        <f t="shared" si="15"/>
        <v>0</v>
      </c>
      <c r="M247" s="37">
        <f t="shared" si="15"/>
        <v>99000</v>
      </c>
      <c r="N247" s="37">
        <v>99000</v>
      </c>
      <c r="O247" s="37">
        <f t="shared" si="15"/>
        <v>99000</v>
      </c>
      <c r="P247" s="37">
        <f t="shared" si="15"/>
        <v>99000</v>
      </c>
      <c r="Q247" s="37">
        <f t="shared" si="15"/>
        <v>99000</v>
      </c>
      <c r="R247" s="37">
        <f t="shared" si="15"/>
        <v>99000</v>
      </c>
      <c r="S247" s="37">
        <f t="shared" si="15"/>
        <v>99000</v>
      </c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</row>
    <row r="248" spans="1:37" x14ac:dyDescent="0.15">
      <c r="A248" s="210"/>
      <c r="B248" t="s">
        <v>298</v>
      </c>
      <c r="C248" s="37">
        <f t="shared" ref="C248:S248" si="16">C58</f>
        <v>99000</v>
      </c>
      <c r="D248" s="37">
        <f t="shared" si="16"/>
        <v>99000</v>
      </c>
      <c r="E248" s="37">
        <f t="shared" si="16"/>
        <v>99000</v>
      </c>
      <c r="F248" s="37">
        <f t="shared" si="16"/>
        <v>99000</v>
      </c>
      <c r="G248" s="37">
        <f t="shared" si="16"/>
        <v>99000</v>
      </c>
      <c r="H248" s="37">
        <f t="shared" si="16"/>
        <v>99000</v>
      </c>
      <c r="I248" s="37">
        <f t="shared" si="16"/>
        <v>99000</v>
      </c>
      <c r="J248" s="37">
        <f t="shared" si="16"/>
        <v>1.371</v>
      </c>
      <c r="K248" s="37">
        <f t="shared" si="16"/>
        <v>99000</v>
      </c>
      <c r="L248" s="37">
        <f t="shared" si="16"/>
        <v>0</v>
      </c>
      <c r="M248" s="37">
        <f t="shared" si="16"/>
        <v>99000</v>
      </c>
      <c r="N248" s="37">
        <v>99000</v>
      </c>
      <c r="O248" s="37">
        <f t="shared" si="16"/>
        <v>99000</v>
      </c>
      <c r="P248" s="37">
        <f t="shared" si="16"/>
        <v>99000</v>
      </c>
      <c r="Q248" s="37">
        <f t="shared" si="16"/>
        <v>99000</v>
      </c>
      <c r="R248" s="37">
        <f t="shared" si="16"/>
        <v>99000</v>
      </c>
      <c r="S248" s="37">
        <f t="shared" si="16"/>
        <v>99000</v>
      </c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35"/>
      <c r="AJ248" s="235"/>
      <c r="AK248" s="235"/>
    </row>
    <row r="249" spans="1:37" x14ac:dyDescent="0.15">
      <c r="A249" s="210"/>
      <c r="B249" t="s">
        <v>299</v>
      </c>
      <c r="C249" s="37">
        <f t="shared" ref="C249:S249" si="17">C59</f>
        <v>99000</v>
      </c>
      <c r="D249" s="37">
        <f t="shared" si="17"/>
        <v>99000</v>
      </c>
      <c r="E249" s="37">
        <f t="shared" si="17"/>
        <v>99000</v>
      </c>
      <c r="F249" s="37">
        <f t="shared" si="17"/>
        <v>99000</v>
      </c>
      <c r="G249" s="37">
        <f t="shared" si="17"/>
        <v>99000</v>
      </c>
      <c r="H249" s="37">
        <f t="shared" si="17"/>
        <v>99000</v>
      </c>
      <c r="I249" s="37">
        <f t="shared" si="17"/>
        <v>99000</v>
      </c>
      <c r="J249" s="37">
        <f t="shared" si="17"/>
        <v>0.85400000000000009</v>
      </c>
      <c r="K249" s="37">
        <f t="shared" si="17"/>
        <v>99000</v>
      </c>
      <c r="L249" s="37">
        <f t="shared" si="17"/>
        <v>0</v>
      </c>
      <c r="M249" s="37">
        <f t="shared" si="17"/>
        <v>99000</v>
      </c>
      <c r="N249" s="37">
        <v>99000</v>
      </c>
      <c r="O249" s="37">
        <f t="shared" si="17"/>
        <v>99000</v>
      </c>
      <c r="P249" s="37">
        <f t="shared" si="17"/>
        <v>99000</v>
      </c>
      <c r="Q249" s="37">
        <f t="shared" si="17"/>
        <v>99000</v>
      </c>
      <c r="R249" s="37">
        <f t="shared" si="17"/>
        <v>99000</v>
      </c>
      <c r="S249" s="37">
        <f t="shared" si="17"/>
        <v>99000</v>
      </c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</row>
    <row r="250" spans="1:37" x14ac:dyDescent="0.15">
      <c r="A250" s="210"/>
      <c r="B250" s="1" t="s">
        <v>311</v>
      </c>
      <c r="C250" s="37">
        <f t="shared" ref="C250:S250" si="18">C60</f>
        <v>99000</v>
      </c>
      <c r="D250" s="37">
        <f t="shared" si="18"/>
        <v>99000</v>
      </c>
      <c r="E250" s="37">
        <f t="shared" si="18"/>
        <v>99000</v>
      </c>
      <c r="F250" s="37">
        <f t="shared" si="18"/>
        <v>99000</v>
      </c>
      <c r="G250" s="37">
        <f t="shared" si="18"/>
        <v>99000</v>
      </c>
      <c r="H250" s="37">
        <f t="shared" si="18"/>
        <v>99000</v>
      </c>
      <c r="I250" s="37">
        <f t="shared" si="18"/>
        <v>99000</v>
      </c>
      <c r="J250" s="37">
        <f t="shared" si="18"/>
        <v>7.3709999999999996</v>
      </c>
      <c r="K250" s="37">
        <f t="shared" si="18"/>
        <v>99000</v>
      </c>
      <c r="L250" s="37">
        <f t="shared" si="18"/>
        <v>6</v>
      </c>
      <c r="M250" s="37">
        <f t="shared" si="18"/>
        <v>99000</v>
      </c>
      <c r="N250" s="37">
        <v>99000</v>
      </c>
      <c r="O250" s="37">
        <f t="shared" si="18"/>
        <v>99000</v>
      </c>
      <c r="P250" s="37">
        <f t="shared" si="18"/>
        <v>99000</v>
      </c>
      <c r="Q250" s="37">
        <f t="shared" si="18"/>
        <v>99000</v>
      </c>
      <c r="R250" s="37">
        <f t="shared" si="18"/>
        <v>99000</v>
      </c>
      <c r="S250" s="37">
        <f t="shared" si="18"/>
        <v>99000</v>
      </c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</row>
    <row r="251" spans="1:37" x14ac:dyDescent="0.15">
      <c r="A251" s="210"/>
      <c r="B251" s="228" t="s">
        <v>447</v>
      </c>
      <c r="C251" s="37">
        <f>C61-C23</f>
        <v>2.4550000000000001</v>
      </c>
      <c r="D251" s="37">
        <f t="shared" ref="D251:S251" si="19">D61-D23</f>
        <v>0</v>
      </c>
      <c r="E251" s="37">
        <f t="shared" si="19"/>
        <v>0</v>
      </c>
      <c r="F251" s="37">
        <f t="shared" si="19"/>
        <v>1.145</v>
      </c>
      <c r="G251" s="37">
        <f t="shared" si="19"/>
        <v>0</v>
      </c>
      <c r="H251" s="37">
        <f t="shared" si="19"/>
        <v>0</v>
      </c>
      <c r="I251" s="37">
        <f t="shared" si="19"/>
        <v>0</v>
      </c>
      <c r="J251" s="37">
        <f t="shared" si="19"/>
        <v>0.85899999999999999</v>
      </c>
      <c r="K251" s="37">
        <f t="shared" si="19"/>
        <v>0.40899999999999997</v>
      </c>
      <c r="L251" s="37">
        <f t="shared" si="19"/>
        <v>0</v>
      </c>
      <c r="M251" s="37">
        <f t="shared" si="19"/>
        <v>0</v>
      </c>
      <c r="N251" s="37">
        <v>99000</v>
      </c>
      <c r="O251" s="37">
        <f t="shared" si="19"/>
        <v>0</v>
      </c>
      <c r="P251" s="37">
        <f>P61</f>
        <v>99000</v>
      </c>
      <c r="Q251" s="37">
        <f t="shared" si="19"/>
        <v>0.7636666666666666</v>
      </c>
      <c r="R251" s="37">
        <f t="shared" si="19"/>
        <v>0.7636666666666666</v>
      </c>
      <c r="S251" s="37">
        <f t="shared" si="19"/>
        <v>0.7636666666666666</v>
      </c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</row>
    <row r="252" spans="1:37" x14ac:dyDescent="0.15">
      <c r="A252" s="210"/>
      <c r="B252" s="228" t="s">
        <v>446</v>
      </c>
      <c r="C252" s="37">
        <f t="shared" ref="C252:S252" si="20">C62-C24</f>
        <v>0</v>
      </c>
      <c r="D252" s="37">
        <f t="shared" si="20"/>
        <v>0</v>
      </c>
      <c r="E252" s="37">
        <f t="shared" si="20"/>
        <v>0</v>
      </c>
      <c r="F252" s="37">
        <f t="shared" si="20"/>
        <v>0</v>
      </c>
      <c r="G252" s="37">
        <f t="shared" si="20"/>
        <v>0</v>
      </c>
      <c r="H252" s="37">
        <f t="shared" si="20"/>
        <v>0</v>
      </c>
      <c r="I252" s="37">
        <f t="shared" si="20"/>
        <v>0</v>
      </c>
      <c r="J252" s="37">
        <f t="shared" si="20"/>
        <v>0</v>
      </c>
      <c r="K252" s="37">
        <f t="shared" si="20"/>
        <v>0</v>
      </c>
      <c r="L252" s="37">
        <f t="shared" si="20"/>
        <v>5</v>
      </c>
      <c r="M252" s="37">
        <f t="shared" si="20"/>
        <v>0</v>
      </c>
      <c r="N252" s="37">
        <v>99000</v>
      </c>
      <c r="O252" s="37">
        <f>O62-O24</f>
        <v>0</v>
      </c>
      <c r="P252" s="37">
        <f t="shared" ref="P252" si="21">P62</f>
        <v>99000</v>
      </c>
      <c r="Q252" s="37">
        <f t="shared" si="20"/>
        <v>0</v>
      </c>
      <c r="R252" s="37">
        <f t="shared" si="20"/>
        <v>0</v>
      </c>
      <c r="S252" s="37">
        <f t="shared" si="20"/>
        <v>0</v>
      </c>
      <c r="U252" s="235"/>
      <c r="V252" s="235"/>
      <c r="W252" s="235"/>
      <c r="X252" s="235"/>
      <c r="Y252" s="235"/>
      <c r="Z252" s="235"/>
      <c r="AA252" s="235"/>
      <c r="AB252" s="235"/>
      <c r="AC252" s="235"/>
      <c r="AD252" s="235"/>
      <c r="AE252" s="235"/>
      <c r="AF252" s="235"/>
      <c r="AG252" s="235"/>
      <c r="AH252" s="235"/>
      <c r="AI252" s="235"/>
      <c r="AJ252" s="235"/>
      <c r="AK252" s="235"/>
    </row>
    <row r="253" spans="1:37" x14ac:dyDescent="0.15">
      <c r="A253" s="210"/>
      <c r="B253" s="228" t="s">
        <v>445</v>
      </c>
      <c r="C253" s="37">
        <f t="shared" ref="C253:S253" si="22">C63-C25</f>
        <v>0</v>
      </c>
      <c r="D253" s="37">
        <f t="shared" si="22"/>
        <v>0.25</v>
      </c>
      <c r="E253" s="37">
        <f t="shared" si="22"/>
        <v>0</v>
      </c>
      <c r="F253" s="37">
        <f t="shared" si="22"/>
        <v>0.125</v>
      </c>
      <c r="G253" s="37">
        <f t="shared" si="22"/>
        <v>0</v>
      </c>
      <c r="H253" s="37">
        <f t="shared" si="22"/>
        <v>0</v>
      </c>
      <c r="I253" s="37">
        <f t="shared" si="22"/>
        <v>0</v>
      </c>
      <c r="J253" s="37">
        <f t="shared" si="22"/>
        <v>0</v>
      </c>
      <c r="K253" s="37">
        <f t="shared" si="22"/>
        <v>0.125</v>
      </c>
      <c r="L253" s="37">
        <f t="shared" si="22"/>
        <v>0</v>
      </c>
      <c r="M253" s="37">
        <f t="shared" si="22"/>
        <v>0</v>
      </c>
      <c r="N253" s="37">
        <v>99000</v>
      </c>
      <c r="O253" s="37">
        <f t="shared" si="22"/>
        <v>0</v>
      </c>
      <c r="P253" s="37">
        <f t="shared" ref="P253" si="23">P63</f>
        <v>99000</v>
      </c>
      <c r="Q253" s="37">
        <f t="shared" si="22"/>
        <v>0</v>
      </c>
      <c r="R253" s="37">
        <f t="shared" si="22"/>
        <v>0</v>
      </c>
      <c r="S253" s="37">
        <f t="shared" si="22"/>
        <v>0</v>
      </c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  <c r="AH253" s="235"/>
      <c r="AI253" s="235"/>
      <c r="AJ253" s="235"/>
      <c r="AK253" s="235"/>
    </row>
    <row r="254" spans="1:37" x14ac:dyDescent="0.15">
      <c r="A254" s="210"/>
      <c r="B254" s="228" t="s">
        <v>444</v>
      </c>
      <c r="C254" s="37">
        <f t="shared" ref="C254:S254" si="24">C64-C26</f>
        <v>0</v>
      </c>
      <c r="D254" s="37">
        <f t="shared" si="24"/>
        <v>5</v>
      </c>
      <c r="E254" s="37">
        <f t="shared" si="24"/>
        <v>0</v>
      </c>
      <c r="F254" s="37">
        <f t="shared" si="24"/>
        <v>0</v>
      </c>
      <c r="G254" s="37">
        <f t="shared" si="24"/>
        <v>0</v>
      </c>
      <c r="H254" s="37">
        <f t="shared" si="24"/>
        <v>0</v>
      </c>
      <c r="I254" s="37">
        <f t="shared" si="24"/>
        <v>0</v>
      </c>
      <c r="J254" s="37">
        <f t="shared" si="24"/>
        <v>0</v>
      </c>
      <c r="K254" s="37">
        <f t="shared" si="24"/>
        <v>0</v>
      </c>
      <c r="L254" s="37">
        <f t="shared" si="24"/>
        <v>0</v>
      </c>
      <c r="M254" s="37">
        <f>M64-M26</f>
        <v>0</v>
      </c>
      <c r="N254" s="37">
        <v>99000</v>
      </c>
      <c r="O254" s="37">
        <f t="shared" si="24"/>
        <v>0</v>
      </c>
      <c r="P254" s="37">
        <f t="shared" ref="P254" si="25">P64</f>
        <v>99000</v>
      </c>
      <c r="Q254" s="37">
        <f t="shared" si="24"/>
        <v>0</v>
      </c>
      <c r="R254" s="37">
        <f t="shared" si="24"/>
        <v>0</v>
      </c>
      <c r="S254" s="37">
        <f t="shared" si="24"/>
        <v>0</v>
      </c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</row>
    <row r="255" spans="1:37" x14ac:dyDescent="0.15">
      <c r="A255" s="210"/>
      <c r="B255" s="228" t="s">
        <v>443</v>
      </c>
      <c r="C255" s="37">
        <f t="shared" ref="C255:S255" si="26">C65-C27</f>
        <v>1.603</v>
      </c>
      <c r="D255" s="37">
        <f t="shared" si="26"/>
        <v>0</v>
      </c>
      <c r="E255" s="37">
        <f t="shared" si="26"/>
        <v>0</v>
      </c>
      <c r="F255" s="37">
        <f t="shared" si="26"/>
        <v>3.8010000000000002</v>
      </c>
      <c r="G255" s="37">
        <f t="shared" si="26"/>
        <v>0</v>
      </c>
      <c r="H255" s="37">
        <f t="shared" si="26"/>
        <v>0</v>
      </c>
      <c r="I255" s="37">
        <f t="shared" si="26"/>
        <v>0</v>
      </c>
      <c r="J255" s="37">
        <f t="shared" si="26"/>
        <v>0.56099999999999994</v>
      </c>
      <c r="K255" s="37">
        <f t="shared" si="26"/>
        <v>1.601</v>
      </c>
      <c r="L255" s="37">
        <f t="shared" si="26"/>
        <v>0</v>
      </c>
      <c r="M255" s="37">
        <f t="shared" si="26"/>
        <v>0</v>
      </c>
      <c r="N255" s="37">
        <v>99000</v>
      </c>
      <c r="O255" s="37">
        <f t="shared" si="26"/>
        <v>0</v>
      </c>
      <c r="P255" s="37">
        <f t="shared" ref="P255" si="27">P65</f>
        <v>99000</v>
      </c>
      <c r="Q255" s="37">
        <f t="shared" si="26"/>
        <v>1.0000000000000009E-3</v>
      </c>
      <c r="R255" s="37">
        <f t="shared" si="26"/>
        <v>1.0000000000000009E-3</v>
      </c>
      <c r="S255" s="37">
        <f t="shared" si="26"/>
        <v>1.0000000000000009E-3</v>
      </c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</row>
    <row r="256" spans="1:37" x14ac:dyDescent="0.15">
      <c r="A256" s="210"/>
      <c r="B256" s="228" t="s">
        <v>442</v>
      </c>
      <c r="C256" s="37">
        <f t="shared" ref="C256:S256" si="28">C66-C28</f>
        <v>0</v>
      </c>
      <c r="D256" s="37">
        <f t="shared" si="28"/>
        <v>0.15000000000000002</v>
      </c>
      <c r="E256" s="37">
        <f t="shared" si="28"/>
        <v>0</v>
      </c>
      <c r="F256" s="37">
        <f t="shared" si="28"/>
        <v>0.15000000000000005</v>
      </c>
      <c r="G256" s="37">
        <f t="shared" si="28"/>
        <v>0</v>
      </c>
      <c r="H256" s="37">
        <f t="shared" si="28"/>
        <v>0</v>
      </c>
      <c r="I256" s="37">
        <f t="shared" si="28"/>
        <v>0</v>
      </c>
      <c r="J256" s="37">
        <f t="shared" si="28"/>
        <v>0</v>
      </c>
      <c r="K256" s="37">
        <f t="shared" si="28"/>
        <v>0</v>
      </c>
      <c r="L256" s="37">
        <f t="shared" si="28"/>
        <v>0</v>
      </c>
      <c r="M256" s="37">
        <f t="shared" si="28"/>
        <v>0</v>
      </c>
      <c r="N256" s="37">
        <v>99000</v>
      </c>
      <c r="O256" s="37">
        <f t="shared" si="28"/>
        <v>0</v>
      </c>
      <c r="P256" s="37">
        <f t="shared" ref="P256" si="29">P66</f>
        <v>99000</v>
      </c>
      <c r="Q256" s="37">
        <f t="shared" si="28"/>
        <v>0</v>
      </c>
      <c r="R256" s="37">
        <f t="shared" si="28"/>
        <v>0</v>
      </c>
      <c r="S256" s="37">
        <f t="shared" si="28"/>
        <v>0</v>
      </c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</row>
    <row r="257" spans="1:37" x14ac:dyDescent="0.15">
      <c r="A257" s="210"/>
      <c r="B257" s="228" t="s">
        <v>441</v>
      </c>
      <c r="C257" s="37">
        <f t="shared" ref="C257:S257" si="30">C67-C29</f>
        <v>0.95000000000000018</v>
      </c>
      <c r="D257" s="37">
        <f t="shared" si="30"/>
        <v>0</v>
      </c>
      <c r="E257" s="37">
        <f t="shared" si="30"/>
        <v>0</v>
      </c>
      <c r="F257" s="37">
        <f t="shared" si="30"/>
        <v>0</v>
      </c>
      <c r="G257" s="37">
        <f t="shared" si="30"/>
        <v>0</v>
      </c>
      <c r="H257" s="37">
        <f t="shared" si="30"/>
        <v>0</v>
      </c>
      <c r="I257" s="37">
        <f t="shared" si="30"/>
        <v>0</v>
      </c>
      <c r="J257" s="37">
        <f t="shared" si="30"/>
        <v>0</v>
      </c>
      <c r="K257" s="37">
        <f t="shared" si="30"/>
        <v>9.999999999999995E-3</v>
      </c>
      <c r="L257" s="37">
        <f t="shared" si="30"/>
        <v>6.57</v>
      </c>
      <c r="M257" s="37">
        <f t="shared" si="30"/>
        <v>0</v>
      </c>
      <c r="N257" s="37">
        <v>99000</v>
      </c>
      <c r="O257" s="37">
        <f t="shared" si="30"/>
        <v>0.9500000000000004</v>
      </c>
      <c r="P257" s="37">
        <f t="shared" ref="P257" si="31">P67</f>
        <v>99000</v>
      </c>
      <c r="Q257" s="37">
        <f t="shared" si="30"/>
        <v>5.333333333333333E-2</v>
      </c>
      <c r="R257" s="37">
        <f t="shared" si="30"/>
        <v>5.333333333333333E-2</v>
      </c>
      <c r="S257" s="37">
        <f t="shared" si="30"/>
        <v>5.333333333333333E-2</v>
      </c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</row>
    <row r="258" spans="1:37" x14ac:dyDescent="0.15">
      <c r="A258" s="210"/>
      <c r="B258" s="228" t="s">
        <v>440</v>
      </c>
      <c r="C258" s="37">
        <f t="shared" ref="C258:S258" si="32">C68-C30</f>
        <v>35.96</v>
      </c>
      <c r="D258" s="37">
        <f t="shared" si="32"/>
        <v>0</v>
      </c>
      <c r="E258" s="37">
        <f t="shared" si="32"/>
        <v>0</v>
      </c>
      <c r="F258" s="37">
        <f t="shared" si="32"/>
        <v>7.0409999999999986</v>
      </c>
      <c r="G258" s="37">
        <f t="shared" si="32"/>
        <v>0</v>
      </c>
      <c r="H258" s="37">
        <f t="shared" si="32"/>
        <v>0</v>
      </c>
      <c r="I258" s="37">
        <f t="shared" si="32"/>
        <v>8.3890000000000011</v>
      </c>
      <c r="J258" s="37">
        <f t="shared" si="32"/>
        <v>6.6880000000000006</v>
      </c>
      <c r="K258" s="37">
        <f t="shared" si="32"/>
        <v>3.4719999999999995</v>
      </c>
      <c r="L258" s="37">
        <f t="shared" si="32"/>
        <v>28.499000000000002</v>
      </c>
      <c r="M258" s="37">
        <f t="shared" si="32"/>
        <v>0</v>
      </c>
      <c r="N258" s="37">
        <v>99000</v>
      </c>
      <c r="O258" s="37">
        <f t="shared" si="32"/>
        <v>10.466000000000001</v>
      </c>
      <c r="P258" s="37">
        <f t="shared" ref="P258" si="33">P68</f>
        <v>99000</v>
      </c>
      <c r="Q258" s="37">
        <f t="shared" si="32"/>
        <v>10.372333333333334</v>
      </c>
      <c r="R258" s="37">
        <f t="shared" si="32"/>
        <v>10.372333333333334</v>
      </c>
      <c r="S258" s="37">
        <f t="shared" si="32"/>
        <v>10.372333333333334</v>
      </c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  <c r="AH258" s="235"/>
      <c r="AI258" s="235"/>
      <c r="AJ258" s="235"/>
      <c r="AK258" s="235"/>
    </row>
    <row r="259" spans="1:37" x14ac:dyDescent="0.15">
      <c r="A259" s="210"/>
      <c r="B259" s="228" t="s">
        <v>439</v>
      </c>
      <c r="C259" s="37">
        <f t="shared" ref="C259:S259" si="34">C69-C31</f>
        <v>4.2580000000000018</v>
      </c>
      <c r="D259" s="37">
        <f t="shared" si="34"/>
        <v>0</v>
      </c>
      <c r="E259" s="37">
        <f t="shared" si="34"/>
        <v>0</v>
      </c>
      <c r="F259" s="37">
        <f t="shared" si="34"/>
        <v>0.37000000000000011</v>
      </c>
      <c r="G259" s="37">
        <f t="shared" si="34"/>
        <v>0.23500000000000004</v>
      </c>
      <c r="H259" s="37">
        <f t="shared" si="34"/>
        <v>0</v>
      </c>
      <c r="I259" s="37">
        <f t="shared" si="34"/>
        <v>0</v>
      </c>
      <c r="J259" s="37">
        <f t="shared" si="34"/>
        <v>1.4740000000000002</v>
      </c>
      <c r="K259" s="37">
        <f t="shared" si="34"/>
        <v>0.5840000000000003</v>
      </c>
      <c r="L259" s="37">
        <f t="shared" si="34"/>
        <v>0</v>
      </c>
      <c r="M259" s="37">
        <f t="shared" si="34"/>
        <v>0</v>
      </c>
      <c r="N259" s="37">
        <v>99000</v>
      </c>
      <c r="O259" s="37">
        <f t="shared" si="34"/>
        <v>0</v>
      </c>
      <c r="P259" s="37">
        <f t="shared" ref="P259" si="35">P69</f>
        <v>99000</v>
      </c>
      <c r="Q259" s="37">
        <f t="shared" si="34"/>
        <v>0.22766666666666668</v>
      </c>
      <c r="R259" s="37">
        <f t="shared" si="34"/>
        <v>0.22766666666666668</v>
      </c>
      <c r="S259" s="37">
        <f t="shared" si="34"/>
        <v>0.22766666666666668</v>
      </c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</row>
    <row r="260" spans="1:37" x14ac:dyDescent="0.15">
      <c r="A260" s="210"/>
      <c r="B260" s="228" t="s">
        <v>438</v>
      </c>
      <c r="C260" s="37">
        <f t="shared" ref="C260:S260" si="36">C70-C32</f>
        <v>1.6100000000000003</v>
      </c>
      <c r="D260" s="37">
        <f t="shared" si="36"/>
        <v>0</v>
      </c>
      <c r="E260" s="37">
        <f t="shared" si="36"/>
        <v>0</v>
      </c>
      <c r="F260" s="37">
        <f t="shared" si="36"/>
        <v>0.77699999999999991</v>
      </c>
      <c r="G260" s="37">
        <f t="shared" si="36"/>
        <v>0</v>
      </c>
      <c r="H260" s="37">
        <f t="shared" si="36"/>
        <v>0</v>
      </c>
      <c r="I260" s="37">
        <f t="shared" si="36"/>
        <v>1.367</v>
      </c>
      <c r="J260" s="37">
        <f t="shared" si="36"/>
        <v>0.32100000000000006</v>
      </c>
      <c r="K260" s="37">
        <f t="shared" si="36"/>
        <v>0.66999999999999982</v>
      </c>
      <c r="L260" s="37">
        <f t="shared" si="36"/>
        <v>0.90499999999999936</v>
      </c>
      <c r="M260" s="37">
        <f t="shared" si="36"/>
        <v>0</v>
      </c>
      <c r="N260" s="37">
        <v>99000</v>
      </c>
      <c r="O260" s="37">
        <f t="shared" si="36"/>
        <v>0.33199999999999985</v>
      </c>
      <c r="P260" s="37">
        <f t="shared" ref="P260" si="37">P70</f>
        <v>99000</v>
      </c>
      <c r="Q260" s="37">
        <f t="shared" si="36"/>
        <v>0.32200000000000006</v>
      </c>
      <c r="R260" s="37">
        <f t="shared" si="36"/>
        <v>0.32200000000000006</v>
      </c>
      <c r="S260" s="37">
        <f t="shared" si="36"/>
        <v>0.32200000000000006</v>
      </c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</row>
    <row r="261" spans="1:37" x14ac:dyDescent="0.15">
      <c r="A261" s="210"/>
      <c r="B261" s="228" t="s">
        <v>437</v>
      </c>
      <c r="C261" s="37">
        <f t="shared" ref="C261:S261" si="38">C71-C33</f>
        <v>0</v>
      </c>
      <c r="D261" s="37">
        <f t="shared" si="38"/>
        <v>9.8089999999999993</v>
      </c>
      <c r="E261" s="37">
        <f t="shared" si="38"/>
        <v>1.1540000000000001</v>
      </c>
      <c r="F261" s="37">
        <f t="shared" si="38"/>
        <v>0.57700000000000007</v>
      </c>
      <c r="G261" s="37">
        <f t="shared" si="38"/>
        <v>0</v>
      </c>
      <c r="H261" s="37">
        <f t="shared" si="38"/>
        <v>0</v>
      </c>
      <c r="I261" s="37">
        <f t="shared" si="38"/>
        <v>6.0000000000000005E-2</v>
      </c>
      <c r="J261" s="37">
        <f t="shared" si="38"/>
        <v>0</v>
      </c>
      <c r="K261" s="37">
        <f t="shared" si="38"/>
        <v>0</v>
      </c>
      <c r="L261" s="37">
        <f t="shared" si="38"/>
        <v>0</v>
      </c>
      <c r="M261" s="37">
        <f t="shared" si="38"/>
        <v>9.8089999999999993</v>
      </c>
      <c r="N261" s="37">
        <v>99000</v>
      </c>
      <c r="O261" s="37">
        <f t="shared" si="38"/>
        <v>0.20799999999999999</v>
      </c>
      <c r="P261" s="37">
        <f t="shared" ref="P261" si="39">P71</f>
        <v>99000</v>
      </c>
      <c r="Q261" s="37">
        <f t="shared" si="38"/>
        <v>9.2333333333333337E-2</v>
      </c>
      <c r="R261" s="37">
        <f t="shared" si="38"/>
        <v>9.2333333333333337E-2</v>
      </c>
      <c r="S261" s="37">
        <f t="shared" si="38"/>
        <v>9.2333333333333337E-2</v>
      </c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5"/>
      <c r="AJ261" s="235"/>
      <c r="AK261" s="235"/>
    </row>
    <row r="262" spans="1:37" x14ac:dyDescent="0.15">
      <c r="A262" s="210"/>
      <c r="B262" s="228" t="s">
        <v>436</v>
      </c>
      <c r="C262" s="37">
        <f t="shared" ref="C262:S262" si="40">C72-C34</f>
        <v>0</v>
      </c>
      <c r="D262" s="37">
        <f t="shared" si="40"/>
        <v>0.82200000000000006</v>
      </c>
      <c r="E262" s="37">
        <f t="shared" si="40"/>
        <v>5.4550000000000001</v>
      </c>
      <c r="F262" s="37">
        <f t="shared" si="40"/>
        <v>1.351</v>
      </c>
      <c r="G262" s="37">
        <f t="shared" si="40"/>
        <v>0.94200000000000006</v>
      </c>
      <c r="H262" s="37">
        <f t="shared" si="40"/>
        <v>0</v>
      </c>
      <c r="I262" s="37">
        <f t="shared" si="40"/>
        <v>0</v>
      </c>
      <c r="J262" s="37">
        <f t="shared" si="40"/>
        <v>0</v>
      </c>
      <c r="K262" s="37">
        <f t="shared" si="40"/>
        <v>0</v>
      </c>
      <c r="L262" s="37">
        <f t="shared" si="40"/>
        <v>0</v>
      </c>
      <c r="M262" s="37">
        <f t="shared" si="40"/>
        <v>0.82200000000000051</v>
      </c>
      <c r="N262" s="37">
        <v>99000</v>
      </c>
      <c r="O262" s="37">
        <f t="shared" si="40"/>
        <v>1.1340000000000001</v>
      </c>
      <c r="P262" s="37">
        <f t="shared" ref="P262" si="41">P72</f>
        <v>99000</v>
      </c>
      <c r="Q262" s="37">
        <f t="shared" si="40"/>
        <v>1.1000000000000001</v>
      </c>
      <c r="R262" s="37">
        <f t="shared" si="40"/>
        <v>1.1000000000000001</v>
      </c>
      <c r="S262" s="37">
        <f t="shared" si="40"/>
        <v>1.1000000000000001</v>
      </c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</row>
    <row r="263" spans="1:37" x14ac:dyDescent="0.15">
      <c r="A263" s="210"/>
      <c r="B263" s="228" t="s">
        <v>435</v>
      </c>
      <c r="C263" s="37">
        <f t="shared" ref="C263:S263" si="42">C73-C35</f>
        <v>11</v>
      </c>
      <c r="D263" s="37">
        <f t="shared" si="42"/>
        <v>0</v>
      </c>
      <c r="E263" s="37">
        <f t="shared" si="42"/>
        <v>7.5000000000000011E-2</v>
      </c>
      <c r="F263" s="37">
        <f t="shared" si="42"/>
        <v>4</v>
      </c>
      <c r="G263" s="37">
        <f t="shared" si="42"/>
        <v>4.0750000000000002</v>
      </c>
      <c r="H263" s="37">
        <f t="shared" si="42"/>
        <v>0</v>
      </c>
      <c r="I263" s="37">
        <f t="shared" si="42"/>
        <v>3.0000000000000001E-3</v>
      </c>
      <c r="J263" s="37">
        <f t="shared" si="42"/>
        <v>0</v>
      </c>
      <c r="K263" s="37">
        <f t="shared" si="42"/>
        <v>9.9999999999999395E-4</v>
      </c>
      <c r="L263" s="37">
        <f t="shared" si="42"/>
        <v>0</v>
      </c>
      <c r="M263" s="37">
        <f t="shared" si="42"/>
        <v>0</v>
      </c>
      <c r="N263" s="37">
        <v>99000</v>
      </c>
      <c r="O263" s="37">
        <f t="shared" si="42"/>
        <v>2.7269999999999999</v>
      </c>
      <c r="P263" s="37">
        <f t="shared" ref="P263" si="43">P73</f>
        <v>99000</v>
      </c>
      <c r="Q263" s="37">
        <f t="shared" si="42"/>
        <v>1.3736666666666668</v>
      </c>
      <c r="R263" s="37">
        <f t="shared" si="42"/>
        <v>1.3736666666666668</v>
      </c>
      <c r="S263" s="37">
        <f t="shared" si="42"/>
        <v>1.3736666666666668</v>
      </c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  <c r="AH263" s="235"/>
      <c r="AI263" s="235"/>
      <c r="AJ263" s="235"/>
      <c r="AK263" s="235"/>
    </row>
    <row r="264" spans="1:37" x14ac:dyDescent="0.15">
      <c r="A264" s="210"/>
      <c r="B264" s="228" t="s">
        <v>434</v>
      </c>
      <c r="C264" s="37">
        <f t="shared" ref="C264:S264" si="44">C74-C36</f>
        <v>0</v>
      </c>
      <c r="D264" s="37">
        <f t="shared" si="44"/>
        <v>22.055000000000003</v>
      </c>
      <c r="E264" s="37">
        <f t="shared" si="44"/>
        <v>0</v>
      </c>
      <c r="F264" s="37">
        <f t="shared" si="44"/>
        <v>0</v>
      </c>
      <c r="G264" s="37">
        <f t="shared" si="44"/>
        <v>0</v>
      </c>
      <c r="H264" s="37">
        <f t="shared" si="44"/>
        <v>0</v>
      </c>
      <c r="I264" s="37">
        <f t="shared" si="44"/>
        <v>0</v>
      </c>
      <c r="J264" s="37">
        <f t="shared" si="44"/>
        <v>0</v>
      </c>
      <c r="K264" s="37">
        <f t="shared" si="44"/>
        <v>0</v>
      </c>
      <c r="L264" s="37">
        <f t="shared" si="44"/>
        <v>55</v>
      </c>
      <c r="M264" s="37">
        <f t="shared" si="44"/>
        <v>22.055000000000003</v>
      </c>
      <c r="N264" s="37">
        <v>99000</v>
      </c>
      <c r="O264" s="37">
        <f t="shared" si="44"/>
        <v>0</v>
      </c>
      <c r="P264" s="37">
        <f t="shared" ref="P264" si="45">P74</f>
        <v>99000</v>
      </c>
      <c r="Q264" s="37">
        <f t="shared" si="44"/>
        <v>0</v>
      </c>
      <c r="R264" s="37">
        <f t="shared" si="44"/>
        <v>0</v>
      </c>
      <c r="S264" s="37">
        <f t="shared" si="44"/>
        <v>0</v>
      </c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</row>
    <row r="265" spans="1:37" x14ac:dyDescent="0.15">
      <c r="A265" s="210"/>
      <c r="B265" s="228" t="s">
        <v>448</v>
      </c>
      <c r="C265" s="37">
        <f t="shared" ref="C265:S265" si="46">C75-C37</f>
        <v>5</v>
      </c>
      <c r="D265" s="37">
        <f t="shared" si="46"/>
        <v>0</v>
      </c>
      <c r="E265" s="37">
        <f t="shared" si="46"/>
        <v>5</v>
      </c>
      <c r="F265" s="37">
        <f t="shared" si="46"/>
        <v>1.5</v>
      </c>
      <c r="G265" s="37">
        <f t="shared" si="46"/>
        <v>0</v>
      </c>
      <c r="H265" s="37">
        <f t="shared" si="46"/>
        <v>0</v>
      </c>
      <c r="I265" s="37">
        <f t="shared" si="46"/>
        <v>0</v>
      </c>
      <c r="J265" s="37">
        <f t="shared" si="46"/>
        <v>0</v>
      </c>
      <c r="K265" s="37">
        <f t="shared" si="46"/>
        <v>3</v>
      </c>
      <c r="L265" s="37">
        <f t="shared" si="46"/>
        <v>0</v>
      </c>
      <c r="M265" s="37">
        <f t="shared" si="46"/>
        <v>0</v>
      </c>
      <c r="N265" s="37">
        <v>99000</v>
      </c>
      <c r="O265" s="37">
        <f t="shared" si="46"/>
        <v>2</v>
      </c>
      <c r="P265" s="37">
        <f t="shared" ref="P265" si="47">P75</f>
        <v>99000</v>
      </c>
      <c r="Q265" s="37">
        <f t="shared" si="46"/>
        <v>0</v>
      </c>
      <c r="R265" s="37">
        <f t="shared" si="46"/>
        <v>0</v>
      </c>
      <c r="S265" s="37">
        <f t="shared" si="46"/>
        <v>0</v>
      </c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</row>
    <row r="266" spans="1:37" x14ac:dyDescent="0.15">
      <c r="A266" s="210"/>
      <c r="B266" s="228" t="s">
        <v>449</v>
      </c>
      <c r="C266" s="37">
        <f t="shared" ref="C266:S266" si="48">C76-C38</f>
        <v>0</v>
      </c>
      <c r="D266" s="37">
        <f t="shared" si="48"/>
        <v>5.319</v>
      </c>
      <c r="E266" s="37">
        <f t="shared" si="48"/>
        <v>13.461</v>
      </c>
      <c r="F266" s="37">
        <f t="shared" si="48"/>
        <v>0</v>
      </c>
      <c r="G266" s="37">
        <f t="shared" si="48"/>
        <v>0</v>
      </c>
      <c r="H266" s="37">
        <f t="shared" si="48"/>
        <v>0</v>
      </c>
      <c r="I266" s="37">
        <f t="shared" si="48"/>
        <v>0</v>
      </c>
      <c r="J266" s="37">
        <f t="shared" si="48"/>
        <v>0</v>
      </c>
      <c r="K266" s="37">
        <f t="shared" si="48"/>
        <v>0</v>
      </c>
      <c r="L266" s="37">
        <f t="shared" si="48"/>
        <v>11.120000000000001</v>
      </c>
      <c r="M266" s="37">
        <f t="shared" si="48"/>
        <v>5.319</v>
      </c>
      <c r="N266" s="37">
        <v>99000</v>
      </c>
      <c r="O266" s="37">
        <f t="shared" si="48"/>
        <v>4.0139999999999993</v>
      </c>
      <c r="P266" s="37">
        <f t="shared" ref="P266" si="49">P76</f>
        <v>99000</v>
      </c>
      <c r="Q266" s="37">
        <f t="shared" si="48"/>
        <v>2.6666666666666665</v>
      </c>
      <c r="R266" s="37">
        <f t="shared" si="48"/>
        <v>2.6666666666666665</v>
      </c>
      <c r="S266" s="37">
        <f t="shared" si="48"/>
        <v>2.6666666666666665</v>
      </c>
      <c r="U266" s="235"/>
      <c r="V266" s="235"/>
      <c r="W266" s="235"/>
      <c r="X266" s="235"/>
      <c r="Y266" s="235"/>
      <c r="Z266" s="235"/>
      <c r="AA266" s="235"/>
      <c r="AB266" s="235"/>
      <c r="AC266" s="235"/>
      <c r="AD266" s="235"/>
      <c r="AE266" s="235"/>
      <c r="AF266" s="235"/>
      <c r="AG266" s="235"/>
      <c r="AH266" s="235"/>
      <c r="AI266" s="235"/>
      <c r="AJ266" s="235"/>
      <c r="AK266" s="235"/>
    </row>
    <row r="267" spans="1:37" x14ac:dyDescent="0.15">
      <c r="A267" s="210"/>
      <c r="B267" s="228" t="s">
        <v>450</v>
      </c>
      <c r="C267" s="37">
        <f t="shared" ref="C267:S267" si="50">C77-C39</f>
        <v>5.76</v>
      </c>
      <c r="D267" s="37">
        <f t="shared" si="50"/>
        <v>0</v>
      </c>
      <c r="E267" s="37">
        <f t="shared" si="50"/>
        <v>0</v>
      </c>
      <c r="F267" s="37">
        <f t="shared" si="50"/>
        <v>0.12000000000000001</v>
      </c>
      <c r="G267" s="37">
        <f t="shared" si="50"/>
        <v>0</v>
      </c>
      <c r="H267" s="37">
        <f t="shared" si="50"/>
        <v>0</v>
      </c>
      <c r="I267" s="37">
        <f t="shared" si="50"/>
        <v>0</v>
      </c>
      <c r="J267" s="37">
        <f t="shared" si="50"/>
        <v>0</v>
      </c>
      <c r="K267" s="37">
        <f t="shared" si="50"/>
        <v>0.12000000000000001</v>
      </c>
      <c r="L267" s="37">
        <f t="shared" si="50"/>
        <v>0</v>
      </c>
      <c r="M267" s="37">
        <f t="shared" si="50"/>
        <v>0</v>
      </c>
      <c r="N267" s="37">
        <v>99000</v>
      </c>
      <c r="O267" s="37">
        <f t="shared" si="50"/>
        <v>5.76</v>
      </c>
      <c r="P267" s="37">
        <f t="shared" ref="P267" si="51">P77</f>
        <v>99000</v>
      </c>
      <c r="Q267" s="37">
        <f t="shared" si="50"/>
        <v>0</v>
      </c>
      <c r="R267" s="37">
        <f t="shared" si="50"/>
        <v>0</v>
      </c>
      <c r="S267" s="37">
        <f t="shared" si="50"/>
        <v>0</v>
      </c>
      <c r="U267" s="235"/>
      <c r="V267" s="235"/>
      <c r="W267" s="235"/>
      <c r="X267" s="235"/>
      <c r="Y267" s="235"/>
      <c r="Z267" s="235"/>
      <c r="AA267" s="235"/>
      <c r="AB267" s="235"/>
      <c r="AC267" s="235"/>
      <c r="AD267" s="235"/>
      <c r="AE267" s="235"/>
      <c r="AF267" s="235"/>
      <c r="AG267" s="235"/>
      <c r="AH267" s="235"/>
      <c r="AI267" s="235"/>
      <c r="AJ267" s="235"/>
      <c r="AK267" s="235"/>
    </row>
    <row r="268" spans="1:37" x14ac:dyDescent="0.15">
      <c r="A268" s="210"/>
      <c r="B268" s="228" t="s">
        <v>451</v>
      </c>
      <c r="C268" s="37">
        <f t="shared" ref="C268:S268" si="52">C78-C40</f>
        <v>2.911999999999999</v>
      </c>
      <c r="D268" s="37">
        <f t="shared" si="52"/>
        <v>0</v>
      </c>
      <c r="E268" s="37">
        <f t="shared" si="52"/>
        <v>0</v>
      </c>
      <c r="F268" s="37">
        <f t="shared" si="52"/>
        <v>0.48600000000000021</v>
      </c>
      <c r="G268" s="37">
        <f t="shared" si="52"/>
        <v>0</v>
      </c>
      <c r="H268" s="37">
        <f t="shared" si="52"/>
        <v>0</v>
      </c>
      <c r="I268" s="37">
        <f t="shared" si="52"/>
        <v>0.60499999999999998</v>
      </c>
      <c r="J268" s="37">
        <f t="shared" si="52"/>
        <v>0.46599999999999975</v>
      </c>
      <c r="K268" s="37">
        <f t="shared" si="52"/>
        <v>0.24199999999999999</v>
      </c>
      <c r="L268" s="37">
        <f t="shared" si="52"/>
        <v>2.0619999999999994</v>
      </c>
      <c r="M268" s="37">
        <f t="shared" si="52"/>
        <v>0</v>
      </c>
      <c r="N268" s="37">
        <v>99000</v>
      </c>
      <c r="O268" s="37">
        <f t="shared" si="52"/>
        <v>0.75800000000000001</v>
      </c>
      <c r="P268" s="37">
        <f t="shared" ref="P268" si="53">P78</f>
        <v>99000</v>
      </c>
      <c r="Q268" s="37">
        <f t="shared" si="52"/>
        <v>0.57299999999999995</v>
      </c>
      <c r="R268" s="37">
        <f t="shared" si="52"/>
        <v>0.57299999999999995</v>
      </c>
      <c r="S268" s="37">
        <f t="shared" si="52"/>
        <v>0.57299999999999995</v>
      </c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</row>
    <row r="269" spans="1:37" x14ac:dyDescent="0.15">
      <c r="A269" s="210"/>
      <c r="B269" s="228" t="s">
        <v>452</v>
      </c>
      <c r="C269" s="37">
        <f t="shared" ref="C269:S269" si="54">C79-C41</f>
        <v>1.418000000000001</v>
      </c>
      <c r="D269" s="37">
        <f t="shared" si="54"/>
        <v>0</v>
      </c>
      <c r="E269" s="37">
        <f t="shared" si="54"/>
        <v>0</v>
      </c>
      <c r="F269" s="37">
        <f t="shared" si="54"/>
        <v>0.23599999999999988</v>
      </c>
      <c r="G269" s="37">
        <f t="shared" si="54"/>
        <v>0</v>
      </c>
      <c r="H269" s="37">
        <f t="shared" si="54"/>
        <v>0</v>
      </c>
      <c r="I269" s="37">
        <f t="shared" si="54"/>
        <v>0.29499999999999993</v>
      </c>
      <c r="J269" s="37">
        <f t="shared" si="54"/>
        <v>0.22699999999999987</v>
      </c>
      <c r="K269" s="37">
        <f t="shared" si="54"/>
        <v>0.11800000000000005</v>
      </c>
      <c r="L269" s="37">
        <f t="shared" si="54"/>
        <v>1.0040000000000004</v>
      </c>
      <c r="M269" s="37">
        <f t="shared" si="54"/>
        <v>0</v>
      </c>
      <c r="N269" s="37">
        <v>99000</v>
      </c>
      <c r="O269" s="37">
        <f t="shared" si="54"/>
        <v>0.36799999999999999</v>
      </c>
      <c r="P269" s="37">
        <f t="shared" ref="P269" si="55">P79</f>
        <v>99000</v>
      </c>
      <c r="Q269" s="37">
        <f t="shared" si="54"/>
        <v>0.35733333333333306</v>
      </c>
      <c r="R269" s="37">
        <f t="shared" si="54"/>
        <v>0.35733333333333306</v>
      </c>
      <c r="S269" s="37">
        <f t="shared" si="54"/>
        <v>0.35733333333333306</v>
      </c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</row>
    <row r="270" spans="1:37" x14ac:dyDescent="0.15"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</row>
  </sheetData>
  <hyperlinks>
    <hyperlink ref="A12" r:id="rId1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4"/>
  <sheetViews>
    <sheetView showGridLines="0" topLeftCell="J34" zoomScale="55" zoomScaleNormal="55" workbookViewId="0">
      <selection activeCell="AV83" sqref="AV83:AV101"/>
    </sheetView>
  </sheetViews>
  <sheetFormatPr defaultRowHeight="11.25" x14ac:dyDescent="0.15"/>
  <cols>
    <col min="2" max="2" width="20.875" customWidth="1"/>
    <col min="3" max="3" width="9.125" bestFit="1" customWidth="1"/>
    <col min="4" max="6" width="9.375" bestFit="1" customWidth="1"/>
    <col min="7" max="8" width="9.125" bestFit="1" customWidth="1"/>
    <col min="9" max="9" width="9.125" customWidth="1"/>
    <col min="10" max="10" width="9.125" bestFit="1" customWidth="1"/>
    <col min="11" max="14" width="9.375" bestFit="1" customWidth="1"/>
    <col min="15" max="15" width="9.125" bestFit="1" customWidth="1"/>
    <col min="16" max="18" width="10.5" bestFit="1" customWidth="1"/>
    <col min="22" max="22" width="10.375" customWidth="1"/>
    <col min="23" max="23" width="10.125" customWidth="1"/>
    <col min="24" max="24" width="12.25" customWidth="1"/>
  </cols>
  <sheetData>
    <row r="1" spans="1:32" x14ac:dyDescent="0.15">
      <c r="A1" s="146" t="s">
        <v>241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Z1" s="160"/>
      <c r="AA1" s="160" t="s">
        <v>257</v>
      </c>
      <c r="AB1" s="160"/>
      <c r="AC1" s="160"/>
      <c r="AD1" s="160"/>
      <c r="AE1" s="160"/>
      <c r="AF1" s="160"/>
    </row>
    <row r="2" spans="1:32" x14ac:dyDescent="0.15">
      <c r="C2" t="s">
        <v>233</v>
      </c>
      <c r="D2" t="s">
        <v>234</v>
      </c>
      <c r="E2" t="s">
        <v>235</v>
      </c>
      <c r="F2" t="s">
        <v>101</v>
      </c>
      <c r="G2" t="s">
        <v>155</v>
      </c>
      <c r="H2" t="s">
        <v>236</v>
      </c>
      <c r="J2" t="s">
        <v>222</v>
      </c>
      <c r="K2" t="s">
        <v>102</v>
      </c>
      <c r="L2" t="s">
        <v>223</v>
      </c>
      <c r="M2" t="s">
        <v>224</v>
      </c>
      <c r="N2" t="s">
        <v>225</v>
      </c>
      <c r="O2" t="s">
        <v>226</v>
      </c>
      <c r="P2" t="s">
        <v>227</v>
      </c>
      <c r="Q2" t="s">
        <v>194</v>
      </c>
      <c r="R2" t="s">
        <v>103</v>
      </c>
      <c r="S2" t="s">
        <v>154</v>
      </c>
      <c r="T2" t="s">
        <v>228</v>
      </c>
      <c r="U2" t="s">
        <v>229</v>
      </c>
      <c r="V2" t="s">
        <v>195</v>
      </c>
      <c r="W2" t="s">
        <v>230</v>
      </c>
      <c r="X2" t="s">
        <v>231</v>
      </c>
      <c r="Z2" s="160" t="s">
        <v>262</v>
      </c>
      <c r="AA2" s="160" t="s">
        <v>258</v>
      </c>
      <c r="AB2" s="160" t="s">
        <v>259</v>
      </c>
      <c r="AC2" s="160" t="s">
        <v>194</v>
      </c>
      <c r="AD2" s="160" t="s">
        <v>242</v>
      </c>
      <c r="AE2" s="160" t="s">
        <v>260</v>
      </c>
      <c r="AF2" s="160" t="s">
        <v>261</v>
      </c>
    </row>
    <row r="3" spans="1:32" x14ac:dyDescent="0.15">
      <c r="A3" t="s">
        <v>81</v>
      </c>
      <c r="C3">
        <v>136</v>
      </c>
      <c r="D3">
        <v>0</v>
      </c>
      <c r="E3">
        <v>0</v>
      </c>
      <c r="F3">
        <v>64</v>
      </c>
      <c r="G3">
        <v>0</v>
      </c>
      <c r="H3">
        <v>0</v>
      </c>
      <c r="J3">
        <v>45</v>
      </c>
      <c r="K3">
        <v>0</v>
      </c>
      <c r="L3">
        <v>0</v>
      </c>
      <c r="M3">
        <v>0</v>
      </c>
      <c r="N3">
        <v>23</v>
      </c>
      <c r="O3">
        <v>0</v>
      </c>
      <c r="P3">
        <v>82</v>
      </c>
      <c r="Q3">
        <v>88</v>
      </c>
      <c r="R3">
        <v>0</v>
      </c>
      <c r="S3">
        <v>0</v>
      </c>
      <c r="T3">
        <v>0</v>
      </c>
      <c r="U3">
        <v>48</v>
      </c>
      <c r="V3">
        <v>0</v>
      </c>
      <c r="W3">
        <v>595</v>
      </c>
      <c r="X3">
        <v>350</v>
      </c>
      <c r="Z3" s="160"/>
      <c r="AA3" s="160" t="s">
        <v>234</v>
      </c>
      <c r="AB3" s="160" t="s">
        <v>259</v>
      </c>
      <c r="AC3" s="160" t="s">
        <v>195</v>
      </c>
      <c r="AD3" s="160"/>
      <c r="AE3" s="160"/>
      <c r="AF3" s="160"/>
    </row>
    <row r="4" spans="1:32" x14ac:dyDescent="0.15">
      <c r="A4" t="s">
        <v>80</v>
      </c>
      <c r="C4">
        <v>0</v>
      </c>
      <c r="D4" s="138">
        <v>1000</v>
      </c>
      <c r="E4">
        <v>0</v>
      </c>
      <c r="F4">
        <v>750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750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38">
        <v>3250</v>
      </c>
      <c r="X4" s="138">
        <v>2500</v>
      </c>
      <c r="Z4" t="s">
        <v>268</v>
      </c>
      <c r="AA4" s="160" t="s">
        <v>233</v>
      </c>
      <c r="AB4" s="160" t="s">
        <v>259</v>
      </c>
      <c r="AC4" s="160" t="s">
        <v>260</v>
      </c>
    </row>
    <row r="5" spans="1:32" x14ac:dyDescent="0.15">
      <c r="A5" t="s">
        <v>218</v>
      </c>
      <c r="C5">
        <v>0</v>
      </c>
      <c r="D5">
        <v>500</v>
      </c>
      <c r="E5">
        <v>0</v>
      </c>
      <c r="F5">
        <v>250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250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38">
        <v>1250</v>
      </c>
      <c r="X5" s="138">
        <v>1000</v>
      </c>
    </row>
    <row r="6" spans="1:32" x14ac:dyDescent="0.15">
      <c r="A6" t="s">
        <v>78</v>
      </c>
      <c r="C6">
        <v>0</v>
      </c>
      <c r="D6">
        <v>250</v>
      </c>
      <c r="E6">
        <v>0</v>
      </c>
      <c r="F6">
        <v>250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250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38">
        <v>1000</v>
      </c>
      <c r="X6">
        <v>750</v>
      </c>
    </row>
    <row r="7" spans="1:32" x14ac:dyDescent="0.15">
      <c r="A7" t="s">
        <v>219</v>
      </c>
      <c r="C7">
        <v>78</v>
      </c>
      <c r="D7">
        <v>0</v>
      </c>
      <c r="E7">
        <v>0</v>
      </c>
      <c r="F7">
        <v>36</v>
      </c>
      <c r="G7">
        <v>0</v>
      </c>
      <c r="H7">
        <v>0</v>
      </c>
      <c r="J7">
        <v>26</v>
      </c>
      <c r="K7">
        <v>0</v>
      </c>
      <c r="L7">
        <v>0</v>
      </c>
      <c r="M7">
        <v>0</v>
      </c>
      <c r="N7">
        <v>13</v>
      </c>
      <c r="O7">
        <v>0</v>
      </c>
      <c r="P7">
        <v>47</v>
      </c>
      <c r="Q7">
        <v>51</v>
      </c>
      <c r="R7">
        <v>0</v>
      </c>
      <c r="S7">
        <v>0</v>
      </c>
      <c r="T7">
        <v>0</v>
      </c>
      <c r="U7">
        <v>27</v>
      </c>
      <c r="V7">
        <v>0</v>
      </c>
      <c r="W7">
        <v>340</v>
      </c>
      <c r="X7">
        <v>200</v>
      </c>
    </row>
    <row r="8" spans="1:32" x14ac:dyDescent="0.15">
      <c r="A8" t="s">
        <v>216</v>
      </c>
      <c r="C8">
        <v>0</v>
      </c>
      <c r="D8">
        <v>350</v>
      </c>
      <c r="E8">
        <v>0</v>
      </c>
      <c r="F8">
        <v>145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125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765</v>
      </c>
      <c r="X8">
        <v>620</v>
      </c>
    </row>
    <row r="9" spans="1:32" x14ac:dyDescent="0.15">
      <c r="A9" t="s">
        <v>220</v>
      </c>
      <c r="C9" s="138">
        <v>6370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 s="138">
        <v>33068</v>
      </c>
      <c r="L9">
        <v>0</v>
      </c>
      <c r="M9">
        <v>596</v>
      </c>
      <c r="N9">
        <v>0</v>
      </c>
      <c r="O9">
        <v>124</v>
      </c>
      <c r="P9">
        <v>0</v>
      </c>
      <c r="Q9">
        <v>0</v>
      </c>
      <c r="R9" s="138">
        <v>5868</v>
      </c>
      <c r="S9">
        <v>0</v>
      </c>
      <c r="T9">
        <v>0</v>
      </c>
      <c r="U9">
        <v>502</v>
      </c>
      <c r="V9">
        <v>0</v>
      </c>
      <c r="W9" s="138">
        <v>46528</v>
      </c>
      <c r="X9" s="138">
        <v>40158</v>
      </c>
      <c r="Z9" s="148" t="s">
        <v>277</v>
      </c>
    </row>
    <row r="10" spans="1:32" x14ac:dyDescent="0.15">
      <c r="A10" t="s">
        <v>75</v>
      </c>
      <c r="C10" s="138">
        <v>10703</v>
      </c>
      <c r="D10">
        <v>0</v>
      </c>
      <c r="E10">
        <v>0</v>
      </c>
      <c r="F10" s="138">
        <v>2294</v>
      </c>
      <c r="G10">
        <v>0</v>
      </c>
      <c r="H10">
        <v>500</v>
      </c>
      <c r="J10" s="138">
        <v>2828</v>
      </c>
      <c r="K10" s="138">
        <v>6434</v>
      </c>
      <c r="L10">
        <v>757</v>
      </c>
      <c r="M10" s="138">
        <v>1137</v>
      </c>
      <c r="N10" s="138">
        <v>1023</v>
      </c>
      <c r="O10">
        <v>25</v>
      </c>
      <c r="P10" s="138">
        <v>2485</v>
      </c>
      <c r="Q10" s="138">
        <v>3250</v>
      </c>
      <c r="R10" s="138">
        <v>2363</v>
      </c>
      <c r="S10">
        <v>0</v>
      </c>
      <c r="T10" s="138">
        <v>3590</v>
      </c>
      <c r="U10" s="138">
        <v>2020</v>
      </c>
      <c r="V10">
        <v>0</v>
      </c>
      <c r="W10" s="138">
        <v>44531</v>
      </c>
      <c r="X10" s="138">
        <v>28186</v>
      </c>
    </row>
    <row r="11" spans="1:32" x14ac:dyDescent="0.15">
      <c r="A11" t="s">
        <v>74</v>
      </c>
      <c r="C11" s="138">
        <v>4689</v>
      </c>
      <c r="D11">
        <v>0</v>
      </c>
      <c r="E11">
        <v>0</v>
      </c>
      <c r="F11" s="138">
        <v>2525</v>
      </c>
      <c r="G11">
        <v>241</v>
      </c>
      <c r="H11">
        <v>0</v>
      </c>
      <c r="J11">
        <v>480</v>
      </c>
      <c r="K11">
        <v>0</v>
      </c>
      <c r="L11">
        <v>0</v>
      </c>
      <c r="M11">
        <v>0</v>
      </c>
      <c r="N11" s="138">
        <v>1563</v>
      </c>
      <c r="O11">
        <v>0</v>
      </c>
      <c r="P11">
        <v>602</v>
      </c>
      <c r="Q11" s="138">
        <v>3048</v>
      </c>
      <c r="R11">
        <v>0</v>
      </c>
      <c r="S11">
        <v>0</v>
      </c>
      <c r="T11">
        <v>0</v>
      </c>
      <c r="U11" s="138">
        <v>1641</v>
      </c>
      <c r="V11">
        <v>0</v>
      </c>
      <c r="W11" s="138">
        <v>17794</v>
      </c>
      <c r="X11" s="138">
        <v>10100</v>
      </c>
    </row>
    <row r="12" spans="1:32" x14ac:dyDescent="0.15">
      <c r="A12" t="s">
        <v>73</v>
      </c>
      <c r="C12" s="138">
        <v>5240</v>
      </c>
      <c r="D12">
        <v>0</v>
      </c>
      <c r="E12">
        <v>0</v>
      </c>
      <c r="F12" s="138">
        <v>1072</v>
      </c>
      <c r="G12">
        <v>0</v>
      </c>
      <c r="H12">
        <v>0</v>
      </c>
      <c r="J12" s="138">
        <v>1277</v>
      </c>
      <c r="K12" s="138">
        <v>3618</v>
      </c>
      <c r="L12">
        <v>426</v>
      </c>
      <c r="M12" s="138">
        <v>1069</v>
      </c>
      <c r="N12">
        <v>646</v>
      </c>
      <c r="O12">
        <v>0</v>
      </c>
      <c r="P12">
        <v>852</v>
      </c>
      <c r="Q12" s="138">
        <v>1311</v>
      </c>
      <c r="R12" s="138">
        <v>1329</v>
      </c>
      <c r="S12">
        <v>0</v>
      </c>
      <c r="T12" s="138">
        <v>1737</v>
      </c>
      <c r="U12">
        <v>864</v>
      </c>
      <c r="V12">
        <v>0</v>
      </c>
      <c r="W12" s="138">
        <v>21790</v>
      </c>
      <c r="X12" s="138">
        <v>14200</v>
      </c>
    </row>
    <row r="13" spans="1:32" x14ac:dyDescent="0.15">
      <c r="A13" s="148" t="s">
        <v>72</v>
      </c>
      <c r="C13">
        <v>0</v>
      </c>
      <c r="D13" s="138">
        <v>13700</v>
      </c>
      <c r="E13" s="138">
        <v>3579</v>
      </c>
      <c r="F13" s="138">
        <v>1327</v>
      </c>
      <c r="G13">
        <v>0</v>
      </c>
      <c r="H13">
        <v>0</v>
      </c>
      <c r="J13">
        <v>0</v>
      </c>
      <c r="K13" s="138">
        <v>19750</v>
      </c>
      <c r="L13" s="138">
        <v>4060</v>
      </c>
      <c r="M13">
        <v>0</v>
      </c>
      <c r="N13">
        <v>0</v>
      </c>
      <c r="O13">
        <v>0</v>
      </c>
      <c r="P13">
        <v>0</v>
      </c>
      <c r="Q13" s="138">
        <v>1790</v>
      </c>
      <c r="R13">
        <v>645</v>
      </c>
      <c r="S13">
        <v>286</v>
      </c>
      <c r="T13">
        <v>859</v>
      </c>
      <c r="U13">
        <v>0</v>
      </c>
      <c r="V13" s="138">
        <v>13637</v>
      </c>
      <c r="W13" s="138">
        <v>60960</v>
      </c>
      <c r="X13" s="138">
        <v>42416</v>
      </c>
    </row>
    <row r="14" spans="1:32" x14ac:dyDescent="0.15">
      <c r="A14" s="148" t="s">
        <v>71</v>
      </c>
      <c r="C14" s="138">
        <v>13450</v>
      </c>
      <c r="D14">
        <v>0</v>
      </c>
      <c r="E14">
        <v>95</v>
      </c>
      <c r="F14" s="138">
        <v>2443</v>
      </c>
      <c r="G14">
        <v>62</v>
      </c>
      <c r="H14">
        <v>0</v>
      </c>
      <c r="J14" s="138">
        <v>3361</v>
      </c>
      <c r="K14" s="138">
        <v>9523</v>
      </c>
      <c r="L14" s="138">
        <v>1121</v>
      </c>
      <c r="M14" s="138">
        <v>1682</v>
      </c>
      <c r="N14" s="138">
        <v>1179</v>
      </c>
      <c r="O14">
        <v>0</v>
      </c>
      <c r="P14" s="138">
        <v>2243</v>
      </c>
      <c r="Q14" s="138">
        <v>3308</v>
      </c>
      <c r="R14" s="138">
        <v>1526</v>
      </c>
      <c r="S14">
        <v>13</v>
      </c>
      <c r="T14" s="138">
        <v>4610</v>
      </c>
      <c r="U14" s="138">
        <v>2152</v>
      </c>
      <c r="V14">
        <v>0</v>
      </c>
      <c r="W14" s="138">
        <v>52572</v>
      </c>
      <c r="X14" s="138">
        <v>35159</v>
      </c>
      <c r="Z14" s="138"/>
    </row>
    <row r="15" spans="1:32" x14ac:dyDescent="0.15">
      <c r="A15" t="s">
        <v>217</v>
      </c>
      <c r="C15">
        <v>0</v>
      </c>
      <c r="D15">
        <v>0</v>
      </c>
      <c r="E15">
        <v>0</v>
      </c>
      <c r="F15">
        <v>666</v>
      </c>
      <c r="G15">
        <v>0</v>
      </c>
      <c r="H15">
        <v>0</v>
      </c>
      <c r="J15">
        <v>0</v>
      </c>
      <c r="K15" s="138">
        <v>5666</v>
      </c>
      <c r="L15">
        <v>0</v>
      </c>
      <c r="M15">
        <v>0</v>
      </c>
      <c r="N15">
        <v>666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38">
        <v>7664</v>
      </c>
      <c r="X15" s="138">
        <v>6998</v>
      </c>
    </row>
    <row r="16" spans="1:32" x14ac:dyDescent="0.15">
      <c r="A16" s="121" t="s">
        <v>221</v>
      </c>
      <c r="B16" s="121"/>
      <c r="C16" s="121">
        <f>SUM(C3:C15)</f>
        <v>40666</v>
      </c>
      <c r="D16" s="121">
        <f t="shared" ref="D16:X16" si="0">SUM(D3:D15)</f>
        <v>15800</v>
      </c>
      <c r="E16" s="121">
        <f t="shared" si="0"/>
        <v>3674</v>
      </c>
      <c r="F16" s="121">
        <f t="shared" si="0"/>
        <v>11822</v>
      </c>
      <c r="G16" s="121">
        <f t="shared" si="0"/>
        <v>303</v>
      </c>
      <c r="H16" s="121">
        <f t="shared" si="0"/>
        <v>500</v>
      </c>
      <c r="I16" s="121"/>
      <c r="J16" s="121">
        <f t="shared" si="0"/>
        <v>8017</v>
      </c>
      <c r="K16" s="121">
        <f t="shared" si="0"/>
        <v>78059</v>
      </c>
      <c r="L16" s="121">
        <f t="shared" si="0"/>
        <v>6364</v>
      </c>
      <c r="M16" s="121">
        <f t="shared" si="0"/>
        <v>4484</v>
      </c>
      <c r="N16" s="121">
        <f t="shared" si="0"/>
        <v>6488</v>
      </c>
      <c r="O16" s="121">
        <f t="shared" si="0"/>
        <v>149</v>
      </c>
      <c r="P16" s="121">
        <f t="shared" si="0"/>
        <v>6311</v>
      </c>
      <c r="Q16" s="121">
        <f>SUM(Q3:Q15)</f>
        <v>12846</v>
      </c>
      <c r="R16" s="121">
        <f t="shared" si="0"/>
        <v>11731</v>
      </c>
      <c r="S16" s="121">
        <f t="shared" si="0"/>
        <v>299</v>
      </c>
      <c r="T16" s="121">
        <f t="shared" si="0"/>
        <v>10796</v>
      </c>
      <c r="U16" s="121">
        <f t="shared" si="0"/>
        <v>7254</v>
      </c>
      <c r="V16" s="121">
        <f t="shared" si="0"/>
        <v>13637</v>
      </c>
      <c r="W16" s="121">
        <f t="shared" si="0"/>
        <v>259039</v>
      </c>
      <c r="X16" s="121">
        <f t="shared" si="0"/>
        <v>182637</v>
      </c>
    </row>
    <row r="17" spans="1:54" x14ac:dyDescent="0.15">
      <c r="A17" t="s">
        <v>133</v>
      </c>
      <c r="C17">
        <v>0</v>
      </c>
      <c r="D17" s="138">
        <v>9809</v>
      </c>
      <c r="E17" s="138">
        <v>1154</v>
      </c>
      <c r="F17">
        <v>577</v>
      </c>
      <c r="G17">
        <v>0</v>
      </c>
      <c r="H17">
        <v>0</v>
      </c>
      <c r="J17">
        <v>0</v>
      </c>
      <c r="K17">
        <v>0</v>
      </c>
      <c r="L17">
        <v>60</v>
      </c>
      <c r="M17">
        <v>0</v>
      </c>
      <c r="N17">
        <v>0</v>
      </c>
      <c r="O17">
        <v>0</v>
      </c>
      <c r="P17">
        <v>0</v>
      </c>
      <c r="Q17">
        <v>577</v>
      </c>
      <c r="R17">
        <v>208</v>
      </c>
      <c r="S17">
        <v>92</v>
      </c>
      <c r="T17">
        <v>277</v>
      </c>
      <c r="U17">
        <v>0</v>
      </c>
      <c r="V17" s="138">
        <v>9809</v>
      </c>
      <c r="W17" s="138">
        <v>23140</v>
      </c>
      <c r="X17" s="138">
        <v>11600</v>
      </c>
    </row>
    <row r="18" spans="1:54" x14ac:dyDescent="0.15">
      <c r="A18" t="s">
        <v>263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0</v>
      </c>
      <c r="I18" s="138"/>
      <c r="J18" s="138">
        <v>0</v>
      </c>
      <c r="K18" s="138">
        <v>0</v>
      </c>
      <c r="L18" s="138">
        <v>0</v>
      </c>
      <c r="M18" s="138">
        <v>0</v>
      </c>
      <c r="N18" s="138">
        <v>0</v>
      </c>
      <c r="O18" s="138">
        <v>0</v>
      </c>
      <c r="P18" s="138">
        <v>0</v>
      </c>
      <c r="Q18" s="138">
        <v>0</v>
      </c>
      <c r="R18" s="138">
        <v>0</v>
      </c>
      <c r="S18" s="138">
        <v>0</v>
      </c>
      <c r="T18" s="138">
        <v>0</v>
      </c>
      <c r="U18" s="138">
        <v>0</v>
      </c>
      <c r="V18" s="138">
        <v>0</v>
      </c>
      <c r="W18" s="138">
        <v>0</v>
      </c>
      <c r="X18" s="138">
        <v>0</v>
      </c>
    </row>
    <row r="19" spans="1:54" x14ac:dyDescent="0.15">
      <c r="A19" t="s">
        <v>264</v>
      </c>
      <c r="C19">
        <v>0</v>
      </c>
      <c r="D19" s="138">
        <v>375</v>
      </c>
      <c r="E19" s="138">
        <v>700</v>
      </c>
      <c r="F19" s="138">
        <v>0</v>
      </c>
      <c r="G19" s="138">
        <v>0</v>
      </c>
      <c r="H19" s="138">
        <v>0</v>
      </c>
      <c r="I19" s="138"/>
      <c r="J19" s="138">
        <v>0</v>
      </c>
      <c r="K19">
        <v>13750</v>
      </c>
      <c r="L19">
        <v>2000</v>
      </c>
      <c r="M19" s="138">
        <v>0</v>
      </c>
      <c r="N19" s="138">
        <v>0</v>
      </c>
      <c r="O19" s="138">
        <v>0</v>
      </c>
      <c r="P19" s="138">
        <v>0</v>
      </c>
      <c r="Q19">
        <v>350</v>
      </c>
      <c r="R19">
        <v>126</v>
      </c>
      <c r="S19">
        <v>56</v>
      </c>
      <c r="T19">
        <v>168</v>
      </c>
      <c r="U19">
        <v>0</v>
      </c>
      <c r="V19" s="138">
        <v>375</v>
      </c>
      <c r="W19" s="138">
        <f>SUM(C19:V19)</f>
        <v>17900</v>
      </c>
      <c r="X19" s="138">
        <v>17000</v>
      </c>
    </row>
    <row r="20" spans="1:54" x14ac:dyDescent="0.15">
      <c r="A20" t="s">
        <v>267</v>
      </c>
      <c r="C20">
        <v>4135</v>
      </c>
      <c r="D20" s="138"/>
      <c r="E20" s="138"/>
      <c r="F20" s="138"/>
      <c r="G20" s="138"/>
      <c r="H20" s="138"/>
      <c r="I20" s="138"/>
      <c r="J20" s="138"/>
      <c r="M20" s="138"/>
      <c r="N20" s="138"/>
      <c r="O20" s="138">
        <v>42</v>
      </c>
      <c r="P20" s="138"/>
      <c r="R20">
        <v>4135</v>
      </c>
      <c r="V20" s="138"/>
      <c r="W20" s="138">
        <v>8312</v>
      </c>
      <c r="X20" s="138">
        <v>4177</v>
      </c>
    </row>
    <row r="21" spans="1:54" x14ac:dyDescent="0.15">
      <c r="A21" t="s">
        <v>269</v>
      </c>
      <c r="C21">
        <v>8552</v>
      </c>
      <c r="D21" s="138"/>
      <c r="E21" s="138"/>
      <c r="F21" s="138">
        <v>1426</v>
      </c>
      <c r="G21" s="138"/>
      <c r="H21" s="138"/>
      <c r="I21" s="138"/>
      <c r="J21" s="138">
        <v>2137</v>
      </c>
      <c r="K21">
        <v>6055</v>
      </c>
      <c r="L21" s="138">
        <v>713</v>
      </c>
      <c r="M21" s="138">
        <v>1069</v>
      </c>
      <c r="N21" s="138">
        <v>713</v>
      </c>
      <c r="O21" s="138">
        <v>0</v>
      </c>
      <c r="P21" s="138">
        <v>1426</v>
      </c>
      <c r="Q21" s="138">
        <v>2053</v>
      </c>
      <c r="R21" s="161">
        <f>2224*R14/(2224+1274)</f>
        <v>970.21841052029731</v>
      </c>
      <c r="S21" s="138">
        <v>0</v>
      </c>
      <c r="T21" s="138">
        <v>2908</v>
      </c>
      <c r="U21" s="138">
        <v>1368</v>
      </c>
      <c r="V21" s="138">
        <v>0</v>
      </c>
      <c r="W21" s="138">
        <v>30644</v>
      </c>
      <c r="X21" s="138">
        <v>22092</v>
      </c>
    </row>
    <row r="22" spans="1:54" x14ac:dyDescent="0.15">
      <c r="A22" t="s">
        <v>271</v>
      </c>
      <c r="C22">
        <v>4898</v>
      </c>
      <c r="D22" s="138"/>
      <c r="E22" s="138"/>
      <c r="F22">
        <v>817</v>
      </c>
      <c r="J22">
        <v>1224</v>
      </c>
      <c r="K22">
        <v>3468</v>
      </c>
      <c r="L22">
        <v>408</v>
      </c>
      <c r="M22">
        <v>613</v>
      </c>
      <c r="N22">
        <v>408</v>
      </c>
      <c r="P22">
        <v>817</v>
      </c>
      <c r="Q22">
        <v>1176</v>
      </c>
      <c r="R22" s="161">
        <f>1274*R14/(2224+1274)</f>
        <v>555.78158947970269</v>
      </c>
      <c r="T22">
        <v>1665</v>
      </c>
      <c r="U22">
        <v>784</v>
      </c>
      <c r="V22" s="138"/>
      <c r="W22" s="138">
        <v>17551</v>
      </c>
      <c r="X22" s="138">
        <v>12653</v>
      </c>
    </row>
    <row r="23" spans="1:54" x14ac:dyDescent="0.15">
      <c r="D23" s="138"/>
      <c r="E23" s="138"/>
      <c r="V23" s="138"/>
      <c r="W23" s="138"/>
      <c r="X23" s="138"/>
    </row>
    <row r="24" spans="1:54" x14ac:dyDescent="0.15">
      <c r="D24" s="138"/>
      <c r="E24" s="138"/>
      <c r="R24" s="142" t="s">
        <v>278</v>
      </c>
      <c r="V24" s="138"/>
      <c r="W24" s="138"/>
      <c r="X24" s="138"/>
    </row>
    <row r="26" spans="1:54" x14ac:dyDescent="0.15">
      <c r="A26" s="121" t="s">
        <v>237</v>
      </c>
    </row>
    <row r="27" spans="1:54" ht="12" thickBot="1" x14ac:dyDescent="0.2">
      <c r="C27" s="64" t="s">
        <v>100</v>
      </c>
      <c r="D27" s="64" t="s">
        <v>105</v>
      </c>
      <c r="E27" s="65" t="s">
        <v>181</v>
      </c>
      <c r="F27" s="64" t="s">
        <v>101</v>
      </c>
      <c r="G27" s="65" t="s">
        <v>155</v>
      </c>
      <c r="H27" s="65" t="s">
        <v>156</v>
      </c>
      <c r="I27" s="65" t="s">
        <v>229</v>
      </c>
      <c r="J27" s="65" t="s">
        <v>153</v>
      </c>
      <c r="K27" s="64" t="s">
        <v>102</v>
      </c>
      <c r="L27" s="64" t="s">
        <v>104</v>
      </c>
      <c r="M27" s="64" t="s">
        <v>99</v>
      </c>
      <c r="N27" s="65" t="s">
        <v>103</v>
      </c>
      <c r="O27" s="65" t="s">
        <v>154</v>
      </c>
      <c r="P27" s="140" t="s">
        <v>157</v>
      </c>
      <c r="Q27" s="140" t="s">
        <v>182</v>
      </c>
      <c r="R27" s="140" t="s">
        <v>184</v>
      </c>
      <c r="T27" s="8" t="s">
        <v>238</v>
      </c>
      <c r="U27" s="8" t="s">
        <v>232</v>
      </c>
      <c r="V27" t="s">
        <v>230</v>
      </c>
      <c r="W27" t="s">
        <v>231</v>
      </c>
      <c r="X27" t="s">
        <v>228</v>
      </c>
      <c r="Y27" t="s">
        <v>236</v>
      </c>
      <c r="Z27" t="s">
        <v>222</v>
      </c>
      <c r="AA27" t="s">
        <v>223</v>
      </c>
      <c r="AB27" t="s">
        <v>224</v>
      </c>
      <c r="AC27" t="s">
        <v>229</v>
      </c>
      <c r="AD27" t="s">
        <v>225</v>
      </c>
      <c r="AE27" t="s">
        <v>226</v>
      </c>
      <c r="AF27" t="s">
        <v>227</v>
      </c>
      <c r="AH27" s="151" t="s">
        <v>240</v>
      </c>
      <c r="AI27" s="149"/>
      <c r="AJ27" s="150" t="s">
        <v>100</v>
      </c>
      <c r="AK27" s="150" t="s">
        <v>105</v>
      </c>
      <c r="AL27" s="150" t="s">
        <v>181</v>
      </c>
      <c r="AM27" s="150" t="s">
        <v>101</v>
      </c>
      <c r="AN27" s="150" t="s">
        <v>155</v>
      </c>
      <c r="AO27" s="150" t="s">
        <v>156</v>
      </c>
      <c r="AP27" s="150" t="s">
        <v>229</v>
      </c>
      <c r="AQ27" s="150" t="s">
        <v>153</v>
      </c>
      <c r="AR27" s="150" t="s">
        <v>102</v>
      </c>
      <c r="AS27" s="150" t="s">
        <v>104</v>
      </c>
      <c r="AT27" s="150" t="s">
        <v>99</v>
      </c>
      <c r="AU27" s="150" t="s">
        <v>103</v>
      </c>
      <c r="AV27" s="150" t="s">
        <v>154</v>
      </c>
      <c r="AW27" s="150" t="s">
        <v>157</v>
      </c>
      <c r="AX27" s="150" t="s">
        <v>182</v>
      </c>
      <c r="AY27" s="150" t="s">
        <v>184</v>
      </c>
      <c r="BA27" s="157" t="s">
        <v>221</v>
      </c>
      <c r="BB27" s="156" t="s">
        <v>210</v>
      </c>
    </row>
    <row r="28" spans="1:54" x14ac:dyDescent="0.15">
      <c r="B28" t="s">
        <v>93</v>
      </c>
      <c r="C28" s="138">
        <f t="shared" ref="C28:G33" si="1">C3</f>
        <v>136</v>
      </c>
      <c r="D28" s="138">
        <f t="shared" si="1"/>
        <v>0</v>
      </c>
      <c r="E28" s="138">
        <f t="shared" si="1"/>
        <v>0</v>
      </c>
      <c r="F28" s="138">
        <f t="shared" si="1"/>
        <v>64</v>
      </c>
      <c r="G28" s="138">
        <f t="shared" si="1"/>
        <v>0</v>
      </c>
      <c r="H28">
        <f>AA28+AB28</f>
        <v>0</v>
      </c>
      <c r="I28" s="138">
        <f>AC28</f>
        <v>48</v>
      </c>
      <c r="J28">
        <f t="shared" ref="J28:J39" si="2">AE28+AD28</f>
        <v>23</v>
      </c>
      <c r="K28">
        <f t="shared" ref="K28:K33" si="3">K3</f>
        <v>0</v>
      </c>
      <c r="L28">
        <f t="shared" ref="L28:L33" si="4">V3</f>
        <v>0</v>
      </c>
      <c r="M28" s="138">
        <f t="shared" ref="M28:O33" si="5">Q3</f>
        <v>88</v>
      </c>
      <c r="N28">
        <f t="shared" si="5"/>
        <v>0</v>
      </c>
      <c r="O28">
        <f t="shared" si="5"/>
        <v>0</v>
      </c>
      <c r="P28" s="114">
        <f>$T28/3</f>
        <v>42.333333333333336</v>
      </c>
      <c r="Q28" s="114">
        <f>$T28/3</f>
        <v>42.333333333333336</v>
      </c>
      <c r="R28" s="114">
        <f>$T28/3</f>
        <v>42.333333333333336</v>
      </c>
      <c r="T28">
        <f t="shared" ref="T28:T34" si="6">X28+Y28+Z28+AF28</f>
        <v>127</v>
      </c>
      <c r="U28" s="138">
        <f>SUM(C28:R28)</f>
        <v>485.99999999999994</v>
      </c>
      <c r="V28" s="138">
        <f t="shared" ref="V28:W33" si="7">W3</f>
        <v>595</v>
      </c>
      <c r="W28" s="138">
        <f t="shared" si="7"/>
        <v>350</v>
      </c>
      <c r="X28">
        <f t="shared" ref="X28:X33" si="8">T3</f>
        <v>0</v>
      </c>
      <c r="Y28">
        <f t="shared" ref="Y28:Y33" si="9">H3</f>
        <v>0</v>
      </c>
      <c r="Z28">
        <f t="shared" ref="Z28:Z33" si="10">J3</f>
        <v>45</v>
      </c>
      <c r="AA28">
        <f t="shared" ref="AA28:AB33" si="11">L3</f>
        <v>0</v>
      </c>
      <c r="AB28">
        <f t="shared" si="11"/>
        <v>0</v>
      </c>
      <c r="AC28">
        <f t="shared" ref="AC28:AC33" si="12">U3</f>
        <v>48</v>
      </c>
      <c r="AD28">
        <f t="shared" ref="AD28:AF33" si="13">N3</f>
        <v>23</v>
      </c>
      <c r="AE28">
        <f t="shared" si="13"/>
        <v>0</v>
      </c>
      <c r="AF28" s="138">
        <f t="shared" si="13"/>
        <v>82</v>
      </c>
      <c r="AH28" s="149"/>
      <c r="AI28" s="149" t="s">
        <v>93</v>
      </c>
      <c r="AJ28" s="149">
        <f t="shared" ref="AJ28:AJ41" si="14">C28/10^6</f>
        <v>1.36E-4</v>
      </c>
      <c r="AK28" s="149">
        <f t="shared" ref="AK28:AK41" si="15">D28/10^6</f>
        <v>0</v>
      </c>
      <c r="AL28" s="149">
        <f t="shared" ref="AL28:AL41" si="16">E28/10^6</f>
        <v>0</v>
      </c>
      <c r="AM28" s="149">
        <f t="shared" ref="AM28:AM41" si="17">F28/10^6</f>
        <v>6.3999999999999997E-5</v>
      </c>
      <c r="AN28" s="149">
        <f t="shared" ref="AN28:AN41" si="18">G28/10^6</f>
        <v>0</v>
      </c>
      <c r="AO28" s="149">
        <f t="shared" ref="AO28:AP41" si="19">H28/10^6</f>
        <v>0</v>
      </c>
      <c r="AP28" s="149">
        <f t="shared" si="19"/>
        <v>4.8000000000000001E-5</v>
      </c>
      <c r="AQ28" s="149">
        <f t="shared" ref="AQ28:AQ41" si="20">J28/10^6</f>
        <v>2.3E-5</v>
      </c>
      <c r="AR28" s="149">
        <f t="shared" ref="AR28:AR41" si="21">K28/10^6</f>
        <v>0</v>
      </c>
      <c r="AS28" s="149">
        <f t="shared" ref="AS28:AS41" si="22">L28/10^6</f>
        <v>0</v>
      </c>
      <c r="AT28" s="149">
        <f t="shared" ref="AT28:AT41" si="23">M28/10^6</f>
        <v>8.7999999999999998E-5</v>
      </c>
      <c r="AU28" s="149">
        <f t="shared" ref="AU28:AU41" si="24">N28/10^6</f>
        <v>0</v>
      </c>
      <c r="AV28" s="149">
        <f t="shared" ref="AV28:AV41" si="25">O28/10^6</f>
        <v>0</v>
      </c>
      <c r="AW28" s="149">
        <f t="shared" ref="AW28:AW41" si="26">P28/10^6</f>
        <v>4.2333333333333337E-5</v>
      </c>
      <c r="AX28" s="149">
        <f t="shared" ref="AX28:AX41" si="27">Q28/10^6</f>
        <v>4.2333333333333337E-5</v>
      </c>
      <c r="AY28" s="149">
        <f t="shared" ref="AY28:AY41" si="28">R28/10^6</f>
        <v>4.2333333333333337E-5</v>
      </c>
      <c r="BA28" s="149" t="s">
        <v>93</v>
      </c>
      <c r="BB28" s="149">
        <f>W28/10^6</f>
        <v>3.5E-4</v>
      </c>
    </row>
    <row r="29" spans="1:54" x14ac:dyDescent="0.15">
      <c r="B29" t="s">
        <v>92</v>
      </c>
      <c r="C29" s="138">
        <f t="shared" si="1"/>
        <v>0</v>
      </c>
      <c r="D29" s="138">
        <f t="shared" si="1"/>
        <v>1000</v>
      </c>
      <c r="E29" s="138">
        <f t="shared" si="1"/>
        <v>0</v>
      </c>
      <c r="F29" s="138">
        <f t="shared" si="1"/>
        <v>750</v>
      </c>
      <c r="G29" s="138">
        <f t="shared" si="1"/>
        <v>0</v>
      </c>
      <c r="H29">
        <f t="shared" ref="H29:H46" si="29">AA29+AB29</f>
        <v>0</v>
      </c>
      <c r="I29" s="138">
        <f t="shared" ref="I29:I46" si="30">AC29</f>
        <v>0</v>
      </c>
      <c r="J29">
        <f t="shared" si="2"/>
        <v>750</v>
      </c>
      <c r="K29">
        <f t="shared" si="3"/>
        <v>0</v>
      </c>
      <c r="L29">
        <f t="shared" si="4"/>
        <v>0</v>
      </c>
      <c r="M29" s="138">
        <f t="shared" si="5"/>
        <v>0</v>
      </c>
      <c r="N29">
        <f t="shared" si="5"/>
        <v>0</v>
      </c>
      <c r="O29">
        <f t="shared" si="5"/>
        <v>0</v>
      </c>
      <c r="P29" s="114">
        <f t="shared" ref="P29:R41" si="31">$T29/3</f>
        <v>0</v>
      </c>
      <c r="Q29" s="114">
        <f t="shared" si="31"/>
        <v>0</v>
      </c>
      <c r="R29" s="114">
        <f t="shared" si="31"/>
        <v>0</v>
      </c>
      <c r="T29">
        <f t="shared" si="6"/>
        <v>0</v>
      </c>
      <c r="U29">
        <f t="shared" ref="U29:U40" si="32">SUM(C29:R29)</f>
        <v>2500</v>
      </c>
      <c r="V29" s="138">
        <f t="shared" si="7"/>
        <v>3250</v>
      </c>
      <c r="W29" s="138">
        <f t="shared" si="7"/>
        <v>2500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1"/>
        <v>0</v>
      </c>
      <c r="AC29">
        <f t="shared" si="12"/>
        <v>0</v>
      </c>
      <c r="AD29">
        <f t="shared" si="13"/>
        <v>750</v>
      </c>
      <c r="AE29">
        <f t="shared" si="13"/>
        <v>0</v>
      </c>
      <c r="AF29" s="138">
        <f t="shared" si="13"/>
        <v>0</v>
      </c>
      <c r="AH29" s="149"/>
      <c r="AI29" s="149" t="s">
        <v>92</v>
      </c>
      <c r="AJ29" s="149">
        <f t="shared" si="14"/>
        <v>0</v>
      </c>
      <c r="AK29" s="149">
        <f t="shared" si="15"/>
        <v>1E-3</v>
      </c>
      <c r="AL29" s="149">
        <f t="shared" si="16"/>
        <v>0</v>
      </c>
      <c r="AM29" s="149">
        <f t="shared" si="17"/>
        <v>7.5000000000000002E-4</v>
      </c>
      <c r="AN29" s="149">
        <f t="shared" si="18"/>
        <v>0</v>
      </c>
      <c r="AO29" s="149">
        <f t="shared" si="19"/>
        <v>0</v>
      </c>
      <c r="AP29" s="149">
        <f t="shared" si="19"/>
        <v>0</v>
      </c>
      <c r="AQ29" s="149">
        <f t="shared" si="20"/>
        <v>7.5000000000000002E-4</v>
      </c>
      <c r="AR29" s="149">
        <f t="shared" si="21"/>
        <v>0</v>
      </c>
      <c r="AS29" s="149">
        <f t="shared" si="22"/>
        <v>0</v>
      </c>
      <c r="AT29" s="149">
        <f t="shared" si="23"/>
        <v>0</v>
      </c>
      <c r="AU29" s="149">
        <f t="shared" si="24"/>
        <v>0</v>
      </c>
      <c r="AV29" s="149">
        <f t="shared" si="25"/>
        <v>0</v>
      </c>
      <c r="AW29" s="149">
        <f t="shared" si="26"/>
        <v>0</v>
      </c>
      <c r="AX29" s="149">
        <f t="shared" si="27"/>
        <v>0</v>
      </c>
      <c r="AY29" s="149">
        <f t="shared" si="28"/>
        <v>0</v>
      </c>
      <c r="BA29" s="149" t="s">
        <v>92</v>
      </c>
      <c r="BB29" s="149">
        <f t="shared" ref="BB29:BB45" si="33">W29/10^6</f>
        <v>2.5000000000000001E-3</v>
      </c>
    </row>
    <row r="30" spans="1:54" x14ac:dyDescent="0.15">
      <c r="B30" t="s">
        <v>91</v>
      </c>
      <c r="C30" s="138">
        <f t="shared" si="1"/>
        <v>0</v>
      </c>
      <c r="D30" s="138">
        <f t="shared" si="1"/>
        <v>500</v>
      </c>
      <c r="E30" s="138">
        <f t="shared" si="1"/>
        <v>0</v>
      </c>
      <c r="F30" s="138">
        <f t="shared" si="1"/>
        <v>250</v>
      </c>
      <c r="G30" s="138">
        <f t="shared" si="1"/>
        <v>0</v>
      </c>
      <c r="H30">
        <f t="shared" si="29"/>
        <v>0</v>
      </c>
      <c r="I30" s="138">
        <f t="shared" si="30"/>
        <v>0</v>
      </c>
      <c r="J30">
        <f t="shared" si="2"/>
        <v>250</v>
      </c>
      <c r="K30">
        <f t="shared" si="3"/>
        <v>0</v>
      </c>
      <c r="L30">
        <f t="shared" si="4"/>
        <v>0</v>
      </c>
      <c r="M30" s="138">
        <f t="shared" si="5"/>
        <v>0</v>
      </c>
      <c r="N30">
        <f t="shared" si="5"/>
        <v>0</v>
      </c>
      <c r="O30">
        <f t="shared" si="5"/>
        <v>0</v>
      </c>
      <c r="P30" s="114">
        <f t="shared" si="31"/>
        <v>0</v>
      </c>
      <c r="Q30" s="114">
        <f t="shared" si="31"/>
        <v>0</v>
      </c>
      <c r="R30" s="114">
        <f t="shared" si="31"/>
        <v>0</v>
      </c>
      <c r="T30">
        <f t="shared" si="6"/>
        <v>0</v>
      </c>
      <c r="U30">
        <f t="shared" si="32"/>
        <v>1000</v>
      </c>
      <c r="V30" s="138">
        <f t="shared" si="7"/>
        <v>1250</v>
      </c>
      <c r="W30" s="138">
        <f t="shared" si="7"/>
        <v>1000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1"/>
        <v>0</v>
      </c>
      <c r="AC30">
        <f t="shared" si="12"/>
        <v>0</v>
      </c>
      <c r="AD30">
        <f t="shared" si="13"/>
        <v>250</v>
      </c>
      <c r="AE30">
        <f t="shared" si="13"/>
        <v>0</v>
      </c>
      <c r="AF30" s="138">
        <f t="shared" si="13"/>
        <v>0</v>
      </c>
      <c r="AH30" s="149"/>
      <c r="AI30" s="149" t="s">
        <v>91</v>
      </c>
      <c r="AJ30" s="149">
        <f t="shared" si="14"/>
        <v>0</v>
      </c>
      <c r="AK30" s="149">
        <f t="shared" si="15"/>
        <v>5.0000000000000001E-4</v>
      </c>
      <c r="AL30" s="149">
        <f t="shared" si="16"/>
        <v>0</v>
      </c>
      <c r="AM30" s="149">
        <f t="shared" si="17"/>
        <v>2.5000000000000001E-4</v>
      </c>
      <c r="AN30" s="149">
        <f t="shared" si="18"/>
        <v>0</v>
      </c>
      <c r="AO30" s="149">
        <f t="shared" si="19"/>
        <v>0</v>
      </c>
      <c r="AP30" s="149">
        <f t="shared" si="19"/>
        <v>0</v>
      </c>
      <c r="AQ30" s="149">
        <f t="shared" si="20"/>
        <v>2.5000000000000001E-4</v>
      </c>
      <c r="AR30" s="149">
        <f t="shared" si="21"/>
        <v>0</v>
      </c>
      <c r="AS30" s="149">
        <f t="shared" si="22"/>
        <v>0</v>
      </c>
      <c r="AT30" s="149">
        <f t="shared" si="23"/>
        <v>0</v>
      </c>
      <c r="AU30" s="149">
        <f t="shared" si="24"/>
        <v>0</v>
      </c>
      <c r="AV30" s="149">
        <f t="shared" si="25"/>
        <v>0</v>
      </c>
      <c r="AW30" s="149">
        <f t="shared" si="26"/>
        <v>0</v>
      </c>
      <c r="AX30" s="149">
        <f t="shared" si="27"/>
        <v>0</v>
      </c>
      <c r="AY30" s="149">
        <f t="shared" si="28"/>
        <v>0</v>
      </c>
      <c r="BA30" s="149" t="s">
        <v>91</v>
      </c>
      <c r="BB30" s="149">
        <f t="shared" si="33"/>
        <v>1E-3</v>
      </c>
    </row>
    <row r="31" spans="1:54" x14ac:dyDescent="0.15">
      <c r="B31" t="s">
        <v>90</v>
      </c>
      <c r="C31" s="138">
        <f t="shared" si="1"/>
        <v>0</v>
      </c>
      <c r="D31" s="138">
        <f t="shared" si="1"/>
        <v>250</v>
      </c>
      <c r="E31" s="138">
        <f t="shared" si="1"/>
        <v>0</v>
      </c>
      <c r="F31" s="138">
        <f t="shared" si="1"/>
        <v>250</v>
      </c>
      <c r="G31" s="138">
        <f t="shared" si="1"/>
        <v>0</v>
      </c>
      <c r="H31">
        <f t="shared" si="29"/>
        <v>0</v>
      </c>
      <c r="I31" s="138">
        <f t="shared" si="30"/>
        <v>0</v>
      </c>
      <c r="J31">
        <f t="shared" si="2"/>
        <v>250</v>
      </c>
      <c r="K31">
        <f t="shared" si="3"/>
        <v>0</v>
      </c>
      <c r="L31">
        <f t="shared" si="4"/>
        <v>0</v>
      </c>
      <c r="M31" s="138">
        <f t="shared" si="5"/>
        <v>0</v>
      </c>
      <c r="N31">
        <f t="shared" si="5"/>
        <v>0</v>
      </c>
      <c r="O31">
        <f t="shared" si="5"/>
        <v>0</v>
      </c>
      <c r="P31" s="114">
        <f t="shared" si="31"/>
        <v>0</v>
      </c>
      <c r="Q31" s="114">
        <f t="shared" si="31"/>
        <v>0</v>
      </c>
      <c r="R31" s="114">
        <f t="shared" si="31"/>
        <v>0</v>
      </c>
      <c r="T31">
        <f t="shared" si="6"/>
        <v>0</v>
      </c>
      <c r="U31">
        <f t="shared" si="32"/>
        <v>750</v>
      </c>
      <c r="V31" s="138">
        <f t="shared" si="7"/>
        <v>1000</v>
      </c>
      <c r="W31" s="138">
        <f t="shared" si="7"/>
        <v>750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1"/>
        <v>0</v>
      </c>
      <c r="AC31">
        <f t="shared" si="12"/>
        <v>0</v>
      </c>
      <c r="AD31">
        <f t="shared" si="13"/>
        <v>250</v>
      </c>
      <c r="AE31">
        <f t="shared" si="13"/>
        <v>0</v>
      </c>
      <c r="AF31" s="138">
        <f t="shared" si="13"/>
        <v>0</v>
      </c>
      <c r="AH31" s="149"/>
      <c r="AI31" s="149" t="s">
        <v>90</v>
      </c>
      <c r="AJ31" s="149">
        <f t="shared" si="14"/>
        <v>0</v>
      </c>
      <c r="AK31" s="149">
        <f t="shared" si="15"/>
        <v>2.5000000000000001E-4</v>
      </c>
      <c r="AL31" s="149">
        <f t="shared" si="16"/>
        <v>0</v>
      </c>
      <c r="AM31" s="149">
        <f t="shared" si="17"/>
        <v>2.5000000000000001E-4</v>
      </c>
      <c r="AN31" s="149">
        <f t="shared" si="18"/>
        <v>0</v>
      </c>
      <c r="AO31" s="149">
        <f t="shared" si="19"/>
        <v>0</v>
      </c>
      <c r="AP31" s="149">
        <f t="shared" si="19"/>
        <v>0</v>
      </c>
      <c r="AQ31" s="149">
        <f t="shared" si="20"/>
        <v>2.5000000000000001E-4</v>
      </c>
      <c r="AR31" s="149">
        <f t="shared" si="21"/>
        <v>0</v>
      </c>
      <c r="AS31" s="149">
        <f t="shared" si="22"/>
        <v>0</v>
      </c>
      <c r="AT31" s="149">
        <f t="shared" si="23"/>
        <v>0</v>
      </c>
      <c r="AU31" s="149">
        <f t="shared" si="24"/>
        <v>0</v>
      </c>
      <c r="AV31" s="149">
        <f t="shared" si="25"/>
        <v>0</v>
      </c>
      <c r="AW31" s="149">
        <f t="shared" si="26"/>
        <v>0</v>
      </c>
      <c r="AX31" s="149">
        <f t="shared" si="27"/>
        <v>0</v>
      </c>
      <c r="AY31" s="149">
        <f t="shared" si="28"/>
        <v>0</v>
      </c>
      <c r="BA31" s="149" t="s">
        <v>90</v>
      </c>
      <c r="BB31" s="149">
        <f>W31/10^6</f>
        <v>7.5000000000000002E-4</v>
      </c>
    </row>
    <row r="32" spans="1:54" x14ac:dyDescent="0.15">
      <c r="B32" t="s">
        <v>89</v>
      </c>
      <c r="C32" s="138">
        <f t="shared" si="1"/>
        <v>78</v>
      </c>
      <c r="D32" s="138">
        <f t="shared" si="1"/>
        <v>0</v>
      </c>
      <c r="E32" s="138">
        <f t="shared" si="1"/>
        <v>0</v>
      </c>
      <c r="F32" s="138">
        <f t="shared" si="1"/>
        <v>36</v>
      </c>
      <c r="G32" s="138">
        <f t="shared" si="1"/>
        <v>0</v>
      </c>
      <c r="H32">
        <f t="shared" si="29"/>
        <v>0</v>
      </c>
      <c r="I32" s="138">
        <f t="shared" si="30"/>
        <v>27</v>
      </c>
      <c r="J32">
        <f t="shared" si="2"/>
        <v>13</v>
      </c>
      <c r="K32">
        <f t="shared" si="3"/>
        <v>0</v>
      </c>
      <c r="L32">
        <f t="shared" si="4"/>
        <v>0</v>
      </c>
      <c r="M32" s="138">
        <f t="shared" si="5"/>
        <v>51</v>
      </c>
      <c r="N32">
        <f t="shared" si="5"/>
        <v>0</v>
      </c>
      <c r="O32">
        <f t="shared" si="5"/>
        <v>0</v>
      </c>
      <c r="P32" s="114">
        <f t="shared" si="31"/>
        <v>24.333333333333332</v>
      </c>
      <c r="Q32" s="114">
        <f t="shared" si="31"/>
        <v>24.333333333333332</v>
      </c>
      <c r="R32" s="114">
        <f t="shared" si="31"/>
        <v>24.333333333333332</v>
      </c>
      <c r="T32">
        <f t="shared" si="6"/>
        <v>73</v>
      </c>
      <c r="U32">
        <f t="shared" si="32"/>
        <v>278</v>
      </c>
      <c r="V32" s="138">
        <f t="shared" si="7"/>
        <v>340</v>
      </c>
      <c r="W32" s="138">
        <f t="shared" si="7"/>
        <v>200</v>
      </c>
      <c r="X32">
        <f t="shared" si="8"/>
        <v>0</v>
      </c>
      <c r="Y32">
        <f t="shared" si="9"/>
        <v>0</v>
      </c>
      <c r="Z32">
        <f t="shared" si="10"/>
        <v>26</v>
      </c>
      <c r="AA32">
        <f t="shared" si="11"/>
        <v>0</v>
      </c>
      <c r="AB32">
        <f t="shared" si="11"/>
        <v>0</v>
      </c>
      <c r="AC32">
        <f t="shared" si="12"/>
        <v>27</v>
      </c>
      <c r="AD32">
        <f t="shared" si="13"/>
        <v>13</v>
      </c>
      <c r="AE32">
        <f t="shared" si="13"/>
        <v>0</v>
      </c>
      <c r="AF32" s="138">
        <f t="shared" si="13"/>
        <v>47</v>
      </c>
      <c r="AH32" s="149"/>
      <c r="AI32" s="149" t="s">
        <v>89</v>
      </c>
      <c r="AJ32" s="149">
        <f t="shared" si="14"/>
        <v>7.7999999999999999E-5</v>
      </c>
      <c r="AK32" s="149">
        <f t="shared" si="15"/>
        <v>0</v>
      </c>
      <c r="AL32" s="149">
        <f t="shared" si="16"/>
        <v>0</v>
      </c>
      <c r="AM32" s="149">
        <f t="shared" si="17"/>
        <v>3.6000000000000001E-5</v>
      </c>
      <c r="AN32" s="149">
        <f t="shared" si="18"/>
        <v>0</v>
      </c>
      <c r="AO32" s="149">
        <f t="shared" si="19"/>
        <v>0</v>
      </c>
      <c r="AP32" s="149">
        <f t="shared" si="19"/>
        <v>2.6999999999999999E-5</v>
      </c>
      <c r="AQ32" s="149">
        <f t="shared" si="20"/>
        <v>1.2999999999999999E-5</v>
      </c>
      <c r="AR32" s="149">
        <f t="shared" si="21"/>
        <v>0</v>
      </c>
      <c r="AS32" s="149">
        <f t="shared" si="22"/>
        <v>0</v>
      </c>
      <c r="AT32" s="149">
        <f t="shared" si="23"/>
        <v>5.1E-5</v>
      </c>
      <c r="AU32" s="149">
        <f t="shared" si="24"/>
        <v>0</v>
      </c>
      <c r="AV32" s="149">
        <f t="shared" si="25"/>
        <v>0</v>
      </c>
      <c r="AW32" s="149">
        <f t="shared" si="26"/>
        <v>2.4333333333333333E-5</v>
      </c>
      <c r="AX32" s="149">
        <f t="shared" si="27"/>
        <v>2.4333333333333333E-5</v>
      </c>
      <c r="AY32" s="149">
        <f t="shared" si="28"/>
        <v>2.4333333333333333E-5</v>
      </c>
      <c r="BA32" s="149" t="s">
        <v>89</v>
      </c>
      <c r="BB32" s="149">
        <f t="shared" si="33"/>
        <v>2.0000000000000001E-4</v>
      </c>
    </row>
    <row r="33" spans="2:54" x14ac:dyDescent="0.15">
      <c r="B33" t="s">
        <v>88</v>
      </c>
      <c r="C33" s="138">
        <f t="shared" si="1"/>
        <v>0</v>
      </c>
      <c r="D33" s="138">
        <f t="shared" si="1"/>
        <v>350</v>
      </c>
      <c r="E33" s="138">
        <f t="shared" si="1"/>
        <v>0</v>
      </c>
      <c r="F33" s="138">
        <f t="shared" si="1"/>
        <v>145</v>
      </c>
      <c r="G33" s="138">
        <f t="shared" si="1"/>
        <v>0</v>
      </c>
      <c r="H33">
        <f t="shared" si="29"/>
        <v>0</v>
      </c>
      <c r="I33" s="138">
        <f t="shared" si="30"/>
        <v>0</v>
      </c>
      <c r="J33">
        <f t="shared" si="2"/>
        <v>125</v>
      </c>
      <c r="K33">
        <f t="shared" si="3"/>
        <v>0</v>
      </c>
      <c r="L33">
        <f t="shared" si="4"/>
        <v>0</v>
      </c>
      <c r="M33" s="138">
        <f t="shared" si="5"/>
        <v>0</v>
      </c>
      <c r="N33">
        <f t="shared" si="5"/>
        <v>0</v>
      </c>
      <c r="O33">
        <f t="shared" si="5"/>
        <v>0</v>
      </c>
      <c r="P33" s="114">
        <f t="shared" si="31"/>
        <v>0</v>
      </c>
      <c r="Q33" s="114">
        <f t="shared" si="31"/>
        <v>0</v>
      </c>
      <c r="R33" s="114">
        <f t="shared" si="31"/>
        <v>0</v>
      </c>
      <c r="T33">
        <f t="shared" si="6"/>
        <v>0</v>
      </c>
      <c r="U33">
        <f t="shared" si="32"/>
        <v>620</v>
      </c>
      <c r="V33" s="138">
        <f t="shared" si="7"/>
        <v>765</v>
      </c>
      <c r="W33" s="138">
        <f t="shared" si="7"/>
        <v>620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1"/>
        <v>0</v>
      </c>
      <c r="AC33">
        <f t="shared" si="12"/>
        <v>0</v>
      </c>
      <c r="AD33">
        <f t="shared" si="13"/>
        <v>125</v>
      </c>
      <c r="AE33">
        <f t="shared" si="13"/>
        <v>0</v>
      </c>
      <c r="AF33" s="138">
        <f t="shared" si="13"/>
        <v>0</v>
      </c>
      <c r="AH33" s="149"/>
      <c r="AI33" s="149" t="s">
        <v>88</v>
      </c>
      <c r="AJ33" s="149">
        <f t="shared" si="14"/>
        <v>0</v>
      </c>
      <c r="AK33" s="149">
        <f t="shared" si="15"/>
        <v>3.5E-4</v>
      </c>
      <c r="AL33" s="149">
        <f t="shared" si="16"/>
        <v>0</v>
      </c>
      <c r="AM33" s="149">
        <f t="shared" si="17"/>
        <v>1.45E-4</v>
      </c>
      <c r="AN33" s="149">
        <f t="shared" si="18"/>
        <v>0</v>
      </c>
      <c r="AO33" s="149">
        <f t="shared" si="19"/>
        <v>0</v>
      </c>
      <c r="AP33" s="149">
        <f t="shared" si="19"/>
        <v>0</v>
      </c>
      <c r="AQ33" s="149">
        <f t="shared" si="20"/>
        <v>1.25E-4</v>
      </c>
      <c r="AR33" s="149">
        <f t="shared" si="21"/>
        <v>0</v>
      </c>
      <c r="AS33" s="149">
        <f t="shared" si="22"/>
        <v>0</v>
      </c>
      <c r="AT33" s="149">
        <f t="shared" si="23"/>
        <v>0</v>
      </c>
      <c r="AU33" s="149">
        <f t="shared" si="24"/>
        <v>0</v>
      </c>
      <c r="AV33" s="149">
        <f t="shared" si="25"/>
        <v>0</v>
      </c>
      <c r="AW33" s="149">
        <f t="shared" si="26"/>
        <v>0</v>
      </c>
      <c r="AX33" s="149">
        <f t="shared" si="27"/>
        <v>0</v>
      </c>
      <c r="AY33" s="149">
        <f t="shared" si="28"/>
        <v>0</v>
      </c>
      <c r="BA33" s="149" t="s">
        <v>88</v>
      </c>
      <c r="BB33" s="149">
        <f t="shared" si="33"/>
        <v>6.2E-4</v>
      </c>
    </row>
    <row r="34" spans="2:54" x14ac:dyDescent="0.15">
      <c r="B34" t="s">
        <v>87</v>
      </c>
      <c r="C34" s="138">
        <f>C9-C20</f>
        <v>2235</v>
      </c>
      <c r="D34" s="138">
        <f>D9-D20</f>
        <v>0</v>
      </c>
      <c r="E34" s="138">
        <f>E9-E20</f>
        <v>0</v>
      </c>
      <c r="F34" s="138">
        <f>F9-F20</f>
        <v>0</v>
      </c>
      <c r="G34" s="138">
        <f>G9-G20</f>
        <v>0</v>
      </c>
      <c r="H34">
        <f t="shared" si="29"/>
        <v>596</v>
      </c>
      <c r="I34" s="138">
        <f t="shared" si="30"/>
        <v>502</v>
      </c>
      <c r="J34">
        <f t="shared" si="2"/>
        <v>82</v>
      </c>
      <c r="K34" s="138">
        <f>K9-K20</f>
        <v>33068</v>
      </c>
      <c r="L34" s="138">
        <f>V9-V20</f>
        <v>0</v>
      </c>
      <c r="M34" s="138">
        <f>Q9-Q20</f>
        <v>0</v>
      </c>
      <c r="N34" s="138">
        <f>R9-R20</f>
        <v>1733</v>
      </c>
      <c r="O34">
        <f>S9-S20</f>
        <v>0</v>
      </c>
      <c r="P34" s="114">
        <f>$T34/3</f>
        <v>0</v>
      </c>
      <c r="Q34" s="114">
        <f t="shared" si="31"/>
        <v>0</v>
      </c>
      <c r="R34" s="114">
        <f t="shared" si="31"/>
        <v>0</v>
      </c>
      <c r="T34">
        <f t="shared" si="6"/>
        <v>0</v>
      </c>
      <c r="U34" s="138">
        <f>SUM(C34:R34)</f>
        <v>38216</v>
      </c>
      <c r="V34" s="138">
        <f>W9-W20</f>
        <v>38216</v>
      </c>
      <c r="W34" s="138">
        <f>X9-X20</f>
        <v>35981</v>
      </c>
      <c r="X34">
        <f>T9-T20</f>
        <v>0</v>
      </c>
      <c r="Y34" s="138">
        <f>H9-H20</f>
        <v>0</v>
      </c>
      <c r="Z34" s="138">
        <f>J9-J20</f>
        <v>0</v>
      </c>
      <c r="AA34">
        <f>L9-L20</f>
        <v>0</v>
      </c>
      <c r="AB34" s="138">
        <f>M9-M20</f>
        <v>596</v>
      </c>
      <c r="AC34">
        <f>U9-U20</f>
        <v>502</v>
      </c>
      <c r="AD34" s="138">
        <f>N9-N20</f>
        <v>0</v>
      </c>
      <c r="AE34" s="138">
        <f>O9-O20</f>
        <v>82</v>
      </c>
      <c r="AF34" s="138">
        <f>P9-P20</f>
        <v>0</v>
      </c>
      <c r="AH34" s="149"/>
      <c r="AI34" s="149" t="s">
        <v>87</v>
      </c>
      <c r="AJ34" s="149">
        <f t="shared" si="14"/>
        <v>2.235E-3</v>
      </c>
      <c r="AK34" s="149">
        <f t="shared" si="15"/>
        <v>0</v>
      </c>
      <c r="AL34" s="149">
        <f t="shared" si="16"/>
        <v>0</v>
      </c>
      <c r="AM34" s="149">
        <f t="shared" si="17"/>
        <v>0</v>
      </c>
      <c r="AN34" s="149">
        <f t="shared" si="18"/>
        <v>0</v>
      </c>
      <c r="AO34" s="149">
        <f t="shared" si="19"/>
        <v>5.9599999999999996E-4</v>
      </c>
      <c r="AP34" s="149">
        <f t="shared" si="19"/>
        <v>5.0199999999999995E-4</v>
      </c>
      <c r="AQ34" s="149">
        <f t="shared" si="20"/>
        <v>8.2000000000000001E-5</v>
      </c>
      <c r="AR34" s="149">
        <f t="shared" si="21"/>
        <v>3.3068E-2</v>
      </c>
      <c r="AS34" s="149">
        <f t="shared" si="22"/>
        <v>0</v>
      </c>
      <c r="AT34" s="149">
        <f t="shared" si="23"/>
        <v>0</v>
      </c>
      <c r="AU34" s="149">
        <f t="shared" si="24"/>
        <v>1.7329999999999999E-3</v>
      </c>
      <c r="AV34" s="149">
        <f t="shared" si="25"/>
        <v>0</v>
      </c>
      <c r="AW34" s="149">
        <f t="shared" si="26"/>
        <v>0</v>
      </c>
      <c r="AX34" s="149">
        <f t="shared" si="27"/>
        <v>0</v>
      </c>
      <c r="AY34" s="149">
        <f t="shared" si="28"/>
        <v>0</v>
      </c>
      <c r="BA34" s="149" t="s">
        <v>87</v>
      </c>
      <c r="BB34" s="149">
        <f t="shared" si="33"/>
        <v>3.5980999999999999E-2</v>
      </c>
    </row>
    <row r="35" spans="2:54" x14ac:dyDescent="0.15">
      <c r="B35" t="s">
        <v>86</v>
      </c>
      <c r="C35" s="138">
        <f>C10-C18</f>
        <v>10703</v>
      </c>
      <c r="D35" s="138">
        <f>D10-D18</f>
        <v>0</v>
      </c>
      <c r="E35" s="138">
        <f>E10-E18</f>
        <v>0</v>
      </c>
      <c r="F35" s="138">
        <f>F10-F18</f>
        <v>2294</v>
      </c>
      <c r="G35" s="138">
        <f>G10-G18</f>
        <v>0</v>
      </c>
      <c r="H35">
        <f t="shared" si="29"/>
        <v>1894</v>
      </c>
      <c r="I35" s="138">
        <f t="shared" si="30"/>
        <v>2020</v>
      </c>
      <c r="J35">
        <f t="shared" si="2"/>
        <v>1048</v>
      </c>
      <c r="K35" s="138">
        <f>K10-K18</f>
        <v>6434</v>
      </c>
      <c r="L35" s="138">
        <f>V10-V18</f>
        <v>0</v>
      </c>
      <c r="M35" s="138">
        <f>Q10-Q18</f>
        <v>3250</v>
      </c>
      <c r="N35" s="138">
        <f>R10-R18</f>
        <v>2363</v>
      </c>
      <c r="O35" s="138">
        <f>S10-S18</f>
        <v>0</v>
      </c>
      <c r="P35" s="114">
        <f t="shared" si="31"/>
        <v>3134.3333333333335</v>
      </c>
      <c r="Q35" s="114">
        <f t="shared" si="31"/>
        <v>3134.3333333333335</v>
      </c>
      <c r="R35" s="114">
        <f t="shared" si="31"/>
        <v>3134.3333333333335</v>
      </c>
      <c r="T35" s="138">
        <f t="shared" ref="T35:T47" si="34">X35+Y35+Z35+AF35</f>
        <v>9403</v>
      </c>
      <c r="U35">
        <f t="shared" si="32"/>
        <v>39409.000000000007</v>
      </c>
      <c r="V35" s="138">
        <f>W10-W18</f>
        <v>44531</v>
      </c>
      <c r="W35" s="138">
        <f>X10-X18</f>
        <v>28186</v>
      </c>
      <c r="X35" s="138">
        <f>T10-T18</f>
        <v>3590</v>
      </c>
      <c r="Y35" s="138">
        <f>H10-H18</f>
        <v>500</v>
      </c>
      <c r="Z35" s="138">
        <f>J10-J18</f>
        <v>2828</v>
      </c>
      <c r="AA35" s="138">
        <f>L10-L18</f>
        <v>757</v>
      </c>
      <c r="AB35" s="138">
        <f>M10-M18</f>
        <v>1137</v>
      </c>
      <c r="AC35" s="138">
        <f>U10-U18</f>
        <v>2020</v>
      </c>
      <c r="AD35" s="138">
        <f>N10-N18</f>
        <v>1023</v>
      </c>
      <c r="AE35" s="138">
        <f>O10-O18</f>
        <v>25</v>
      </c>
      <c r="AF35" s="138">
        <f>P10-P18</f>
        <v>2485</v>
      </c>
      <c r="AH35" s="149"/>
      <c r="AI35" s="149" t="s">
        <v>86</v>
      </c>
      <c r="AJ35" s="149">
        <f t="shared" si="14"/>
        <v>1.0703000000000001E-2</v>
      </c>
      <c r="AK35" s="149">
        <f t="shared" si="15"/>
        <v>0</v>
      </c>
      <c r="AL35" s="149">
        <f t="shared" si="16"/>
        <v>0</v>
      </c>
      <c r="AM35" s="149">
        <f t="shared" si="17"/>
        <v>2.294E-3</v>
      </c>
      <c r="AN35" s="149">
        <f t="shared" si="18"/>
        <v>0</v>
      </c>
      <c r="AO35" s="149">
        <f t="shared" si="19"/>
        <v>1.8940000000000001E-3</v>
      </c>
      <c r="AP35" s="149">
        <f t="shared" si="19"/>
        <v>2.0200000000000001E-3</v>
      </c>
      <c r="AQ35" s="149">
        <f t="shared" si="20"/>
        <v>1.0480000000000001E-3</v>
      </c>
      <c r="AR35" s="149">
        <f t="shared" si="21"/>
        <v>6.4339999999999996E-3</v>
      </c>
      <c r="AS35" s="149">
        <f t="shared" si="22"/>
        <v>0</v>
      </c>
      <c r="AT35" s="149">
        <f t="shared" si="23"/>
        <v>3.2499999999999999E-3</v>
      </c>
      <c r="AU35" s="149">
        <f t="shared" si="24"/>
        <v>2.3630000000000001E-3</v>
      </c>
      <c r="AV35" s="149">
        <f t="shared" si="25"/>
        <v>0</v>
      </c>
      <c r="AW35" s="149">
        <f t="shared" si="26"/>
        <v>3.1343333333333336E-3</v>
      </c>
      <c r="AX35" s="149">
        <f t="shared" si="27"/>
        <v>3.1343333333333336E-3</v>
      </c>
      <c r="AY35" s="149">
        <f t="shared" si="28"/>
        <v>3.1343333333333336E-3</v>
      </c>
      <c r="BA35" s="149" t="s">
        <v>86</v>
      </c>
      <c r="BB35" s="149">
        <f t="shared" si="33"/>
        <v>2.8185999999999999E-2</v>
      </c>
    </row>
    <row r="36" spans="2:54" x14ac:dyDescent="0.15">
      <c r="B36" t="s">
        <v>85</v>
      </c>
      <c r="C36" s="138">
        <f t="shared" ref="C36:G37" si="35">C11</f>
        <v>4689</v>
      </c>
      <c r="D36" s="138">
        <f t="shared" si="35"/>
        <v>0</v>
      </c>
      <c r="E36" s="138">
        <f t="shared" si="35"/>
        <v>0</v>
      </c>
      <c r="F36" s="138">
        <f t="shared" si="35"/>
        <v>2525</v>
      </c>
      <c r="G36" s="138">
        <f t="shared" si="35"/>
        <v>241</v>
      </c>
      <c r="H36">
        <f t="shared" si="29"/>
        <v>0</v>
      </c>
      <c r="I36" s="138">
        <f t="shared" si="30"/>
        <v>1641</v>
      </c>
      <c r="J36">
        <f t="shared" si="2"/>
        <v>1563</v>
      </c>
      <c r="K36">
        <f>K11</f>
        <v>0</v>
      </c>
      <c r="L36">
        <f>V11</f>
        <v>0</v>
      </c>
      <c r="M36" s="138">
        <f t="shared" ref="M36:O37" si="36">Q11</f>
        <v>3048</v>
      </c>
      <c r="N36">
        <f t="shared" si="36"/>
        <v>0</v>
      </c>
      <c r="O36">
        <f t="shared" si="36"/>
        <v>0</v>
      </c>
      <c r="P36" s="114">
        <f>$T36/3</f>
        <v>360.66666666666669</v>
      </c>
      <c r="Q36" s="114">
        <f t="shared" si="31"/>
        <v>360.66666666666669</v>
      </c>
      <c r="R36" s="114">
        <f t="shared" si="31"/>
        <v>360.66666666666669</v>
      </c>
      <c r="T36">
        <f t="shared" si="34"/>
        <v>1082</v>
      </c>
      <c r="U36">
        <f t="shared" si="32"/>
        <v>14788.999999999998</v>
      </c>
      <c r="V36" s="138">
        <f>W11</f>
        <v>17794</v>
      </c>
      <c r="W36" s="138">
        <f>X11</f>
        <v>10100</v>
      </c>
      <c r="X36">
        <f>T11</f>
        <v>0</v>
      </c>
      <c r="Y36">
        <f>H11</f>
        <v>0</v>
      </c>
      <c r="Z36">
        <f>J11</f>
        <v>480</v>
      </c>
      <c r="AA36">
        <f>L11</f>
        <v>0</v>
      </c>
      <c r="AB36">
        <f>M11</f>
        <v>0</v>
      </c>
      <c r="AC36">
        <f>U11</f>
        <v>1641</v>
      </c>
      <c r="AD36">
        <f t="shared" ref="AD36:AF37" si="37">N11</f>
        <v>1563</v>
      </c>
      <c r="AE36">
        <f t="shared" si="37"/>
        <v>0</v>
      </c>
      <c r="AF36" s="138">
        <f t="shared" si="37"/>
        <v>602</v>
      </c>
      <c r="AH36" s="149"/>
      <c r="AI36" s="149" t="s">
        <v>85</v>
      </c>
      <c r="AJ36" s="149">
        <f t="shared" si="14"/>
        <v>4.6889999999999996E-3</v>
      </c>
      <c r="AK36" s="149">
        <f t="shared" si="15"/>
        <v>0</v>
      </c>
      <c r="AL36" s="149">
        <f t="shared" si="16"/>
        <v>0</v>
      </c>
      <c r="AM36" s="149">
        <f t="shared" si="17"/>
        <v>2.5249999999999999E-3</v>
      </c>
      <c r="AN36" s="149">
        <f t="shared" si="18"/>
        <v>2.41E-4</v>
      </c>
      <c r="AO36" s="149">
        <f t="shared" si="19"/>
        <v>0</v>
      </c>
      <c r="AP36" s="149">
        <f t="shared" si="19"/>
        <v>1.6410000000000001E-3</v>
      </c>
      <c r="AQ36" s="149">
        <f t="shared" si="20"/>
        <v>1.5629999999999999E-3</v>
      </c>
      <c r="AR36" s="149">
        <f t="shared" si="21"/>
        <v>0</v>
      </c>
      <c r="AS36" s="149">
        <f t="shared" si="22"/>
        <v>0</v>
      </c>
      <c r="AT36" s="149">
        <f t="shared" si="23"/>
        <v>3.0479999999999999E-3</v>
      </c>
      <c r="AU36" s="149">
        <f t="shared" si="24"/>
        <v>0</v>
      </c>
      <c r="AV36" s="149">
        <f t="shared" si="25"/>
        <v>0</v>
      </c>
      <c r="AW36" s="149">
        <f t="shared" si="26"/>
        <v>3.6066666666666669E-4</v>
      </c>
      <c r="AX36" s="149">
        <f t="shared" si="27"/>
        <v>3.6066666666666669E-4</v>
      </c>
      <c r="AY36" s="149">
        <f t="shared" si="28"/>
        <v>3.6066666666666669E-4</v>
      </c>
      <c r="BA36" s="149" t="s">
        <v>85</v>
      </c>
      <c r="BB36" s="149">
        <f t="shared" si="33"/>
        <v>1.01E-2</v>
      </c>
    </row>
    <row r="37" spans="2:54" x14ac:dyDescent="0.15">
      <c r="B37" t="s">
        <v>84</v>
      </c>
      <c r="C37" s="138">
        <f t="shared" si="35"/>
        <v>5240</v>
      </c>
      <c r="D37" s="138">
        <f t="shared" si="35"/>
        <v>0</v>
      </c>
      <c r="E37" s="138">
        <f t="shared" si="35"/>
        <v>0</v>
      </c>
      <c r="F37" s="138">
        <f t="shared" si="35"/>
        <v>1072</v>
      </c>
      <c r="G37" s="138">
        <f t="shared" si="35"/>
        <v>0</v>
      </c>
      <c r="H37">
        <f t="shared" si="29"/>
        <v>1495</v>
      </c>
      <c r="I37" s="138">
        <f t="shared" si="30"/>
        <v>864</v>
      </c>
      <c r="J37">
        <f t="shared" si="2"/>
        <v>646</v>
      </c>
      <c r="K37">
        <f>K12</f>
        <v>3618</v>
      </c>
      <c r="L37">
        <f>V12</f>
        <v>0</v>
      </c>
      <c r="M37" s="138">
        <f t="shared" si="36"/>
        <v>1311</v>
      </c>
      <c r="N37">
        <f t="shared" si="36"/>
        <v>1329</v>
      </c>
      <c r="O37">
        <f t="shared" si="36"/>
        <v>0</v>
      </c>
      <c r="P37" s="114">
        <f t="shared" si="31"/>
        <v>1288.6666666666667</v>
      </c>
      <c r="Q37" s="114">
        <f t="shared" si="31"/>
        <v>1288.6666666666667</v>
      </c>
      <c r="R37" s="114">
        <f t="shared" si="31"/>
        <v>1288.6666666666667</v>
      </c>
      <c r="T37">
        <f t="shared" si="34"/>
        <v>3866</v>
      </c>
      <c r="U37">
        <f t="shared" si="32"/>
        <v>19441.000000000004</v>
      </c>
      <c r="V37" s="138">
        <f>W12</f>
        <v>21790</v>
      </c>
      <c r="W37" s="138">
        <f>X12</f>
        <v>14200</v>
      </c>
      <c r="X37">
        <f>T12</f>
        <v>1737</v>
      </c>
      <c r="Y37">
        <f>H12</f>
        <v>0</v>
      </c>
      <c r="Z37">
        <f>J12</f>
        <v>1277</v>
      </c>
      <c r="AA37">
        <f>L12</f>
        <v>426</v>
      </c>
      <c r="AB37">
        <f>M12</f>
        <v>1069</v>
      </c>
      <c r="AC37">
        <f>U12</f>
        <v>864</v>
      </c>
      <c r="AD37">
        <f t="shared" si="37"/>
        <v>646</v>
      </c>
      <c r="AE37">
        <f t="shared" si="37"/>
        <v>0</v>
      </c>
      <c r="AF37" s="138">
        <f t="shared" si="37"/>
        <v>852</v>
      </c>
      <c r="AH37" s="149"/>
      <c r="AI37" s="149" t="s">
        <v>84</v>
      </c>
      <c r="AJ37" s="149">
        <f t="shared" si="14"/>
        <v>5.2399999999999999E-3</v>
      </c>
      <c r="AK37" s="149">
        <f t="shared" si="15"/>
        <v>0</v>
      </c>
      <c r="AL37" s="149">
        <f t="shared" si="16"/>
        <v>0</v>
      </c>
      <c r="AM37" s="149">
        <f t="shared" si="17"/>
        <v>1.072E-3</v>
      </c>
      <c r="AN37" s="149">
        <f t="shared" si="18"/>
        <v>0</v>
      </c>
      <c r="AO37" s="149">
        <f t="shared" si="19"/>
        <v>1.495E-3</v>
      </c>
      <c r="AP37" s="149">
        <f t="shared" si="19"/>
        <v>8.6399999999999997E-4</v>
      </c>
      <c r="AQ37" s="149">
        <f t="shared" si="20"/>
        <v>6.4599999999999998E-4</v>
      </c>
      <c r="AR37" s="149">
        <f t="shared" si="21"/>
        <v>3.6180000000000001E-3</v>
      </c>
      <c r="AS37" s="149">
        <f t="shared" si="22"/>
        <v>0</v>
      </c>
      <c r="AT37" s="149">
        <f t="shared" si="23"/>
        <v>1.3110000000000001E-3</v>
      </c>
      <c r="AU37" s="149">
        <f t="shared" si="24"/>
        <v>1.3290000000000001E-3</v>
      </c>
      <c r="AV37" s="149">
        <f t="shared" si="25"/>
        <v>0</v>
      </c>
      <c r="AW37" s="149">
        <f t="shared" si="26"/>
        <v>1.2886666666666667E-3</v>
      </c>
      <c r="AX37" s="149">
        <f t="shared" si="27"/>
        <v>1.2886666666666667E-3</v>
      </c>
      <c r="AY37" s="149">
        <f t="shared" si="28"/>
        <v>1.2886666666666667E-3</v>
      </c>
      <c r="BA37" s="149" t="s">
        <v>84</v>
      </c>
      <c r="BB37" s="149">
        <f t="shared" si="33"/>
        <v>1.4200000000000001E-2</v>
      </c>
    </row>
    <row r="38" spans="2:54" x14ac:dyDescent="0.15">
      <c r="B38" s="142" t="s">
        <v>131</v>
      </c>
      <c r="C38">
        <f>C17</f>
        <v>0</v>
      </c>
      <c r="D38" s="138">
        <f>D17</f>
        <v>9809</v>
      </c>
      <c r="E38" s="138">
        <f>E17</f>
        <v>1154</v>
      </c>
      <c r="F38" s="138">
        <f>F17</f>
        <v>577</v>
      </c>
      <c r="G38">
        <f>G17</f>
        <v>0</v>
      </c>
      <c r="H38">
        <f t="shared" si="29"/>
        <v>60</v>
      </c>
      <c r="I38" s="138">
        <f t="shared" si="30"/>
        <v>0</v>
      </c>
      <c r="J38">
        <f t="shared" si="2"/>
        <v>0</v>
      </c>
      <c r="K38">
        <f>K17</f>
        <v>0</v>
      </c>
      <c r="L38" s="138">
        <f>V17</f>
        <v>9809</v>
      </c>
      <c r="M38">
        <f>Q17</f>
        <v>577</v>
      </c>
      <c r="N38">
        <f>R17</f>
        <v>208</v>
      </c>
      <c r="O38">
        <f>S17</f>
        <v>92</v>
      </c>
      <c r="P38" s="114">
        <f>$T38/3</f>
        <v>92.333333333333329</v>
      </c>
      <c r="Q38" s="114">
        <f t="shared" si="31"/>
        <v>92.333333333333329</v>
      </c>
      <c r="R38" s="114">
        <f t="shared" si="31"/>
        <v>92.333333333333329</v>
      </c>
      <c r="T38">
        <f t="shared" si="34"/>
        <v>277</v>
      </c>
      <c r="U38">
        <f t="shared" si="32"/>
        <v>22562.999999999996</v>
      </c>
      <c r="V38" s="138">
        <f>W17</f>
        <v>23140</v>
      </c>
      <c r="W38" s="138">
        <f>X17</f>
        <v>11600</v>
      </c>
      <c r="X38">
        <f>T17</f>
        <v>277</v>
      </c>
      <c r="Y38">
        <f>H17</f>
        <v>0</v>
      </c>
      <c r="Z38">
        <f>J17</f>
        <v>0</v>
      </c>
      <c r="AA38">
        <f>L17</f>
        <v>60</v>
      </c>
      <c r="AB38">
        <f>M17</f>
        <v>0</v>
      </c>
      <c r="AC38">
        <f>U17</f>
        <v>0</v>
      </c>
      <c r="AD38">
        <f>N17</f>
        <v>0</v>
      </c>
      <c r="AE38">
        <f>O17</f>
        <v>0</v>
      </c>
      <c r="AF38">
        <f>P17</f>
        <v>0</v>
      </c>
      <c r="AH38" s="149"/>
      <c r="AI38" s="149" t="s">
        <v>131</v>
      </c>
      <c r="AJ38" s="149">
        <f t="shared" si="14"/>
        <v>0</v>
      </c>
      <c r="AK38" s="149">
        <f t="shared" si="15"/>
        <v>9.809E-3</v>
      </c>
      <c r="AL38" s="149">
        <f t="shared" si="16"/>
        <v>1.1540000000000001E-3</v>
      </c>
      <c r="AM38" s="149">
        <f t="shared" si="17"/>
        <v>5.7700000000000004E-4</v>
      </c>
      <c r="AN38" s="149">
        <f t="shared" si="18"/>
        <v>0</v>
      </c>
      <c r="AO38" s="149">
        <f t="shared" si="19"/>
        <v>6.0000000000000002E-5</v>
      </c>
      <c r="AP38" s="149">
        <f t="shared" si="19"/>
        <v>0</v>
      </c>
      <c r="AQ38" s="149">
        <f t="shared" si="20"/>
        <v>0</v>
      </c>
      <c r="AR38" s="149">
        <f t="shared" si="21"/>
        <v>0</v>
      </c>
      <c r="AS38" s="149">
        <f t="shared" si="22"/>
        <v>9.809E-3</v>
      </c>
      <c r="AT38" s="149">
        <f t="shared" si="23"/>
        <v>5.7700000000000004E-4</v>
      </c>
      <c r="AU38" s="149">
        <f t="shared" si="24"/>
        <v>2.0799999999999999E-4</v>
      </c>
      <c r="AV38" s="149">
        <f t="shared" si="25"/>
        <v>9.2E-5</v>
      </c>
      <c r="AW38" s="149">
        <f t="shared" si="26"/>
        <v>9.2333333333333332E-5</v>
      </c>
      <c r="AX38" s="149">
        <f t="shared" si="27"/>
        <v>9.2333333333333332E-5</v>
      </c>
      <c r="AY38" s="149">
        <f t="shared" si="28"/>
        <v>9.2333333333333332E-5</v>
      </c>
      <c r="BA38" s="149" t="s">
        <v>131</v>
      </c>
      <c r="BB38" s="149">
        <f t="shared" si="33"/>
        <v>1.1599999999999999E-2</v>
      </c>
    </row>
    <row r="39" spans="2:54" x14ac:dyDescent="0.15">
      <c r="B39" s="142" t="s">
        <v>132</v>
      </c>
      <c r="C39" s="138">
        <f>C13-C17-C19</f>
        <v>0</v>
      </c>
      <c r="D39" s="138">
        <f>D13-D17-D19</f>
        <v>3516</v>
      </c>
      <c r="E39" s="138">
        <f>E13-E17-E19</f>
        <v>1725</v>
      </c>
      <c r="F39" s="138">
        <f>F13-F17-F19</f>
        <v>750</v>
      </c>
      <c r="G39" s="138">
        <f>G13-G17-G19</f>
        <v>0</v>
      </c>
      <c r="H39">
        <f t="shared" si="29"/>
        <v>2000</v>
      </c>
      <c r="I39" s="138">
        <f t="shared" si="30"/>
        <v>0</v>
      </c>
      <c r="J39">
        <f t="shared" si="2"/>
        <v>0</v>
      </c>
      <c r="K39" s="138">
        <f>K13-K17-K19</f>
        <v>6000</v>
      </c>
      <c r="L39" s="138">
        <f>V13-V17-V19</f>
        <v>3453</v>
      </c>
      <c r="M39" s="138">
        <f>Q13-Q17-Q19</f>
        <v>863</v>
      </c>
      <c r="N39" s="138">
        <f>R13-R17-R19</f>
        <v>311</v>
      </c>
      <c r="O39" s="138">
        <f>S13-S17-S19</f>
        <v>138</v>
      </c>
      <c r="P39" s="114">
        <f>$T39/3</f>
        <v>138</v>
      </c>
      <c r="Q39" s="114">
        <f t="shared" si="31"/>
        <v>138</v>
      </c>
      <c r="R39" s="114">
        <f t="shared" si="31"/>
        <v>138</v>
      </c>
      <c r="S39" s="138"/>
      <c r="T39" s="138">
        <f t="shared" si="34"/>
        <v>414</v>
      </c>
      <c r="U39" s="138">
        <f>SUM(C39:R39)</f>
        <v>19170</v>
      </c>
      <c r="V39" s="138">
        <f>W13-W17-W19</f>
        <v>19920</v>
      </c>
      <c r="W39" s="138">
        <f>X13-X17-X19</f>
        <v>13816</v>
      </c>
      <c r="X39" s="138">
        <f>T13-T17-T19</f>
        <v>414</v>
      </c>
      <c r="Y39" s="138">
        <f>H13-H17-H19</f>
        <v>0</v>
      </c>
      <c r="Z39" s="138">
        <f>J13-J17-J19</f>
        <v>0</v>
      </c>
      <c r="AA39" s="138">
        <f>L13-L17-L19</f>
        <v>2000</v>
      </c>
      <c r="AB39" s="138">
        <f>M13-M17-M19</f>
        <v>0</v>
      </c>
      <c r="AC39" s="138">
        <f>U13-U17-U19</f>
        <v>0</v>
      </c>
      <c r="AD39" s="138">
        <f>N13-N17-N19</f>
        <v>0</v>
      </c>
      <c r="AE39" s="138">
        <f>O13-O17-O19</f>
        <v>0</v>
      </c>
      <c r="AF39" s="138">
        <f>P13-P17-P19</f>
        <v>0</v>
      </c>
      <c r="AH39" s="149"/>
      <c r="AI39" s="149" t="s">
        <v>132</v>
      </c>
      <c r="AJ39" s="149">
        <f t="shared" si="14"/>
        <v>0</v>
      </c>
      <c r="AK39" s="149">
        <f t="shared" si="15"/>
        <v>3.516E-3</v>
      </c>
      <c r="AL39" s="149">
        <f t="shared" si="16"/>
        <v>1.725E-3</v>
      </c>
      <c r="AM39" s="149">
        <f t="shared" si="17"/>
        <v>7.5000000000000002E-4</v>
      </c>
      <c r="AN39" s="149">
        <f t="shared" si="18"/>
        <v>0</v>
      </c>
      <c r="AO39" s="149">
        <f t="shared" si="19"/>
        <v>2E-3</v>
      </c>
      <c r="AP39" s="149">
        <f t="shared" si="19"/>
        <v>0</v>
      </c>
      <c r="AQ39" s="149">
        <f t="shared" si="20"/>
        <v>0</v>
      </c>
      <c r="AR39" s="149">
        <f t="shared" si="21"/>
        <v>6.0000000000000001E-3</v>
      </c>
      <c r="AS39" s="149">
        <f t="shared" si="22"/>
        <v>3.4529999999999999E-3</v>
      </c>
      <c r="AT39" s="149">
        <f t="shared" si="23"/>
        <v>8.6300000000000005E-4</v>
      </c>
      <c r="AU39" s="149">
        <f t="shared" si="24"/>
        <v>3.1100000000000002E-4</v>
      </c>
      <c r="AV39" s="149">
        <f t="shared" si="25"/>
        <v>1.3799999999999999E-4</v>
      </c>
      <c r="AW39" s="149">
        <f t="shared" si="26"/>
        <v>1.3799999999999999E-4</v>
      </c>
      <c r="AX39" s="149">
        <f t="shared" si="27"/>
        <v>1.3799999999999999E-4</v>
      </c>
      <c r="AY39" s="149">
        <f t="shared" si="28"/>
        <v>1.3799999999999999E-4</v>
      </c>
      <c r="BA39" s="149" t="s">
        <v>132</v>
      </c>
      <c r="BB39" s="149">
        <f t="shared" si="33"/>
        <v>1.3816E-2</v>
      </c>
    </row>
    <row r="40" spans="2:54" x14ac:dyDescent="0.15">
      <c r="B40" s="142" t="s">
        <v>83</v>
      </c>
      <c r="C40" s="138">
        <f>C14-C21-C22</f>
        <v>0</v>
      </c>
      <c r="D40" s="138">
        <f>D14-D21-D22</f>
        <v>0</v>
      </c>
      <c r="E40" s="138">
        <f>E14-E21-E22</f>
        <v>95</v>
      </c>
      <c r="F40" s="138">
        <f>F14-F21-F22</f>
        <v>200</v>
      </c>
      <c r="G40" s="138">
        <f>G14-G21-G22</f>
        <v>62</v>
      </c>
      <c r="H40">
        <f t="shared" si="29"/>
        <v>0</v>
      </c>
      <c r="I40" s="138">
        <f t="shared" si="30"/>
        <v>0</v>
      </c>
      <c r="J40" s="138">
        <f>AE40+AD40</f>
        <v>58</v>
      </c>
      <c r="K40" s="138">
        <f>K14-K21-K22</f>
        <v>0</v>
      </c>
      <c r="L40" s="138">
        <f>V14-V21-V22</f>
        <v>0</v>
      </c>
      <c r="M40" s="138">
        <f>Q14-Q21-Q22</f>
        <v>79</v>
      </c>
      <c r="N40" s="138">
        <f>R14-R21-R22</f>
        <v>0</v>
      </c>
      <c r="O40" s="138">
        <f>S14</f>
        <v>13</v>
      </c>
      <c r="P40" s="114">
        <f>$T40/3</f>
        <v>12.333333333333334</v>
      </c>
      <c r="Q40" s="114">
        <f t="shared" si="31"/>
        <v>12.333333333333334</v>
      </c>
      <c r="R40" s="114">
        <f t="shared" si="31"/>
        <v>12.333333333333334</v>
      </c>
      <c r="T40">
        <f t="shared" si="34"/>
        <v>37</v>
      </c>
      <c r="U40">
        <f t="shared" si="32"/>
        <v>544.00000000000011</v>
      </c>
      <c r="V40" s="138">
        <f>W14-V45-V46</f>
        <v>4377</v>
      </c>
      <c r="W40" s="138">
        <f>X14-W45-W46</f>
        <v>414</v>
      </c>
      <c r="X40" s="138">
        <f>T14-X45-X46</f>
        <v>37</v>
      </c>
      <c r="Y40" s="138">
        <f>H14-Y45-Y46</f>
        <v>0</v>
      </c>
      <c r="Z40" s="138">
        <f>J14-Z45-Z46</f>
        <v>0</v>
      </c>
      <c r="AA40" s="138">
        <f>L14-AA45-AA46</f>
        <v>0</v>
      </c>
      <c r="AB40" s="138">
        <f>M14-AB45-AB46</f>
        <v>0</v>
      </c>
      <c r="AC40" s="138">
        <f>U14-AC45-AC46</f>
        <v>0</v>
      </c>
      <c r="AD40" s="138">
        <f>N14-AD45-AD46</f>
        <v>58</v>
      </c>
      <c r="AE40" s="138">
        <f>O14-AE45-AE46</f>
        <v>0</v>
      </c>
      <c r="AF40" s="138">
        <f>P14-AF46-AF45</f>
        <v>0</v>
      </c>
      <c r="AH40" s="149"/>
      <c r="AI40" s="149" t="s">
        <v>83</v>
      </c>
      <c r="AJ40" s="149">
        <f t="shared" si="14"/>
        <v>0</v>
      </c>
      <c r="AK40" s="149">
        <f t="shared" si="15"/>
        <v>0</v>
      </c>
      <c r="AL40" s="149">
        <f t="shared" si="16"/>
        <v>9.5000000000000005E-5</v>
      </c>
      <c r="AM40" s="149">
        <f t="shared" si="17"/>
        <v>2.0000000000000001E-4</v>
      </c>
      <c r="AN40" s="149">
        <f t="shared" si="18"/>
        <v>6.2000000000000003E-5</v>
      </c>
      <c r="AO40" s="149">
        <f t="shared" si="19"/>
        <v>0</v>
      </c>
      <c r="AP40" s="149">
        <f t="shared" si="19"/>
        <v>0</v>
      </c>
      <c r="AQ40" s="149">
        <f t="shared" si="20"/>
        <v>5.8E-5</v>
      </c>
      <c r="AR40" s="149">
        <f t="shared" si="21"/>
        <v>0</v>
      </c>
      <c r="AS40" s="149">
        <f t="shared" si="22"/>
        <v>0</v>
      </c>
      <c r="AT40" s="149">
        <f t="shared" si="23"/>
        <v>7.8999999999999996E-5</v>
      </c>
      <c r="AU40" s="149">
        <f t="shared" si="24"/>
        <v>0</v>
      </c>
      <c r="AV40" s="149">
        <f t="shared" si="25"/>
        <v>1.2999999999999999E-5</v>
      </c>
      <c r="AW40" s="149">
        <f t="shared" si="26"/>
        <v>1.2333333333333334E-5</v>
      </c>
      <c r="AX40" s="149">
        <f t="shared" si="27"/>
        <v>1.2333333333333334E-5</v>
      </c>
      <c r="AY40" s="149">
        <f t="shared" si="28"/>
        <v>1.2333333333333334E-5</v>
      </c>
      <c r="BA40" s="149" t="s">
        <v>83</v>
      </c>
      <c r="BB40" s="149">
        <f t="shared" si="33"/>
        <v>4.1399999999999998E-4</v>
      </c>
    </row>
    <row r="41" spans="2:54" x14ac:dyDescent="0.15">
      <c r="B41" t="s">
        <v>82</v>
      </c>
      <c r="C41">
        <f>C15</f>
        <v>0</v>
      </c>
      <c r="D41" s="138">
        <f>D15</f>
        <v>0</v>
      </c>
      <c r="E41">
        <f>E15</f>
        <v>0</v>
      </c>
      <c r="F41">
        <f>F15</f>
        <v>666</v>
      </c>
      <c r="G41">
        <f>G15</f>
        <v>0</v>
      </c>
      <c r="H41">
        <f t="shared" si="29"/>
        <v>0</v>
      </c>
      <c r="I41" s="138">
        <f t="shared" si="30"/>
        <v>0</v>
      </c>
      <c r="J41">
        <f t="shared" ref="J41:J46" si="38">AE41+AD41</f>
        <v>666</v>
      </c>
      <c r="K41" s="138">
        <f>K15</f>
        <v>5666</v>
      </c>
      <c r="L41" s="138">
        <f>V15</f>
        <v>0</v>
      </c>
      <c r="M41" s="138">
        <f>Q15</f>
        <v>0</v>
      </c>
      <c r="N41" s="138">
        <f>R15</f>
        <v>0</v>
      </c>
      <c r="O41" s="138">
        <f>S15</f>
        <v>0</v>
      </c>
      <c r="P41" s="114">
        <f>$T41/3</f>
        <v>0</v>
      </c>
      <c r="Q41" s="114">
        <f t="shared" si="31"/>
        <v>0</v>
      </c>
      <c r="R41" s="114">
        <f t="shared" si="31"/>
        <v>0</v>
      </c>
      <c r="T41" s="138">
        <f t="shared" si="34"/>
        <v>0</v>
      </c>
      <c r="U41">
        <f t="shared" ref="U41:U47" si="39">SUM(C41:R41)</f>
        <v>6998</v>
      </c>
      <c r="V41" s="138">
        <f>W15</f>
        <v>7664</v>
      </c>
      <c r="W41" s="138">
        <f>X15</f>
        <v>6998</v>
      </c>
      <c r="X41" s="138">
        <f>T15</f>
        <v>0</v>
      </c>
      <c r="Y41">
        <f>H15</f>
        <v>0</v>
      </c>
      <c r="Z41">
        <f>J15</f>
        <v>0</v>
      </c>
      <c r="AA41">
        <f>L15</f>
        <v>0</v>
      </c>
      <c r="AB41">
        <f>M15</f>
        <v>0</v>
      </c>
      <c r="AC41">
        <f>U15</f>
        <v>0</v>
      </c>
      <c r="AD41">
        <f>N15</f>
        <v>666</v>
      </c>
      <c r="AE41">
        <f>O15</f>
        <v>0</v>
      </c>
      <c r="AF41" s="138">
        <f>P15</f>
        <v>0</v>
      </c>
      <c r="AH41" s="149"/>
      <c r="AI41" s="149" t="s">
        <v>82</v>
      </c>
      <c r="AJ41" s="149">
        <f t="shared" si="14"/>
        <v>0</v>
      </c>
      <c r="AK41" s="149">
        <f t="shared" si="15"/>
        <v>0</v>
      </c>
      <c r="AL41" s="149">
        <f t="shared" si="16"/>
        <v>0</v>
      </c>
      <c r="AM41" s="149">
        <f t="shared" si="17"/>
        <v>6.6600000000000003E-4</v>
      </c>
      <c r="AN41" s="149">
        <f t="shared" si="18"/>
        <v>0</v>
      </c>
      <c r="AO41" s="149">
        <f t="shared" si="19"/>
        <v>0</v>
      </c>
      <c r="AP41" s="149">
        <f t="shared" si="19"/>
        <v>0</v>
      </c>
      <c r="AQ41" s="149">
        <f t="shared" si="20"/>
        <v>6.6600000000000003E-4</v>
      </c>
      <c r="AR41" s="149">
        <f t="shared" si="21"/>
        <v>5.666E-3</v>
      </c>
      <c r="AS41" s="149">
        <f t="shared" si="22"/>
        <v>0</v>
      </c>
      <c r="AT41" s="149">
        <f t="shared" si="23"/>
        <v>0</v>
      </c>
      <c r="AU41" s="149">
        <f t="shared" si="24"/>
        <v>0</v>
      </c>
      <c r="AV41" s="149">
        <f t="shared" si="25"/>
        <v>0</v>
      </c>
      <c r="AW41" s="149">
        <f t="shared" si="26"/>
        <v>0</v>
      </c>
      <c r="AX41" s="149">
        <f t="shared" si="27"/>
        <v>0</v>
      </c>
      <c r="AY41" s="149">
        <f t="shared" si="28"/>
        <v>0</v>
      </c>
      <c r="BA41" s="149" t="s">
        <v>82</v>
      </c>
      <c r="BB41" s="149">
        <f t="shared" si="33"/>
        <v>6.9979999999999999E-3</v>
      </c>
    </row>
    <row r="42" spans="2:54" x14ac:dyDescent="0.15">
      <c r="B42" s="142" t="s">
        <v>272</v>
      </c>
      <c r="C42">
        <f t="shared" ref="C42:G46" si="40">C18</f>
        <v>0</v>
      </c>
      <c r="D42">
        <f t="shared" si="40"/>
        <v>0</v>
      </c>
      <c r="E42" s="138">
        <f t="shared" si="40"/>
        <v>0</v>
      </c>
      <c r="F42">
        <f t="shared" si="40"/>
        <v>0</v>
      </c>
      <c r="G42">
        <f t="shared" si="40"/>
        <v>0</v>
      </c>
      <c r="H42">
        <f t="shared" si="29"/>
        <v>0</v>
      </c>
      <c r="I42" s="138">
        <f t="shared" si="30"/>
        <v>0</v>
      </c>
      <c r="J42">
        <f t="shared" si="38"/>
        <v>0</v>
      </c>
      <c r="K42">
        <f>K18</f>
        <v>0</v>
      </c>
      <c r="L42" s="138">
        <f>V18</f>
        <v>0</v>
      </c>
      <c r="M42" s="138">
        <f t="shared" ref="M42:O46" si="41">Q18</f>
        <v>0</v>
      </c>
      <c r="N42" s="138">
        <f t="shared" si="41"/>
        <v>0</v>
      </c>
      <c r="O42" s="138">
        <f t="shared" si="41"/>
        <v>0</v>
      </c>
      <c r="P42" s="114">
        <f>$T42/3</f>
        <v>0</v>
      </c>
      <c r="Q42" s="114">
        <f>$T42/3</f>
        <v>0</v>
      </c>
      <c r="R42" s="114">
        <f>$T42/3</f>
        <v>0</v>
      </c>
      <c r="T42" s="138">
        <f t="shared" si="34"/>
        <v>0</v>
      </c>
      <c r="U42">
        <f t="shared" si="39"/>
        <v>0</v>
      </c>
      <c r="V42" s="138">
        <f t="shared" ref="V42:W46" si="42">W18</f>
        <v>0</v>
      </c>
      <c r="W42" s="138">
        <f t="shared" si="42"/>
        <v>0</v>
      </c>
      <c r="X42" s="138">
        <f>T18</f>
        <v>0</v>
      </c>
      <c r="Y42">
        <f>H18</f>
        <v>0</v>
      </c>
      <c r="Z42">
        <f>J18</f>
        <v>0</v>
      </c>
      <c r="AA42">
        <f t="shared" ref="AA42:AB46" si="43">L18</f>
        <v>0</v>
      </c>
      <c r="AB42">
        <f t="shared" si="43"/>
        <v>0</v>
      </c>
      <c r="AC42">
        <f>U18</f>
        <v>0</v>
      </c>
      <c r="AD42">
        <f t="shared" ref="AD42:AF46" si="44">N18</f>
        <v>0</v>
      </c>
      <c r="AE42">
        <f t="shared" si="44"/>
        <v>0</v>
      </c>
      <c r="AF42" s="138">
        <f t="shared" si="44"/>
        <v>0</v>
      </c>
      <c r="AH42" s="149"/>
      <c r="AI42" s="149" t="s">
        <v>272</v>
      </c>
      <c r="AJ42" s="149">
        <f t="shared" ref="AJ42:AP46" si="45">C42/10^6</f>
        <v>0</v>
      </c>
      <c r="AK42" s="149">
        <f t="shared" si="45"/>
        <v>0</v>
      </c>
      <c r="AL42" s="149">
        <f t="shared" si="45"/>
        <v>0</v>
      </c>
      <c r="AM42" s="149">
        <f t="shared" si="45"/>
        <v>0</v>
      </c>
      <c r="AN42" s="149">
        <f t="shared" si="45"/>
        <v>0</v>
      </c>
      <c r="AO42" s="149">
        <f t="shared" si="45"/>
        <v>0</v>
      </c>
      <c r="AP42" s="149">
        <f t="shared" si="45"/>
        <v>0</v>
      </c>
      <c r="AQ42" s="149">
        <f t="shared" ref="AQ42:AY46" si="46">J42/10^6</f>
        <v>0</v>
      </c>
      <c r="AR42" s="149">
        <f t="shared" si="46"/>
        <v>0</v>
      </c>
      <c r="AS42" s="149">
        <f t="shared" si="46"/>
        <v>0</v>
      </c>
      <c r="AT42" s="149">
        <f t="shared" si="46"/>
        <v>0</v>
      </c>
      <c r="AU42" s="149">
        <f t="shared" si="46"/>
        <v>0</v>
      </c>
      <c r="AV42" s="149">
        <f t="shared" si="46"/>
        <v>0</v>
      </c>
      <c r="AW42" s="149">
        <f t="shared" si="46"/>
        <v>0</v>
      </c>
      <c r="AX42" s="149">
        <f t="shared" si="46"/>
        <v>0</v>
      </c>
      <c r="AY42" s="149">
        <f t="shared" si="46"/>
        <v>0</v>
      </c>
      <c r="BA42" s="149" t="s">
        <v>272</v>
      </c>
      <c r="BB42" s="149">
        <f t="shared" si="33"/>
        <v>0</v>
      </c>
    </row>
    <row r="43" spans="2:54" x14ac:dyDescent="0.15">
      <c r="B43" s="142" t="s">
        <v>273</v>
      </c>
      <c r="C43">
        <f t="shared" si="40"/>
        <v>0</v>
      </c>
      <c r="D43">
        <f t="shared" si="40"/>
        <v>375</v>
      </c>
      <c r="E43">
        <f t="shared" si="40"/>
        <v>700</v>
      </c>
      <c r="F43">
        <f t="shared" si="40"/>
        <v>0</v>
      </c>
      <c r="G43">
        <f t="shared" si="40"/>
        <v>0</v>
      </c>
      <c r="H43">
        <f t="shared" si="29"/>
        <v>2000</v>
      </c>
      <c r="I43" s="138">
        <f t="shared" si="30"/>
        <v>0</v>
      </c>
      <c r="J43">
        <f t="shared" si="38"/>
        <v>0</v>
      </c>
      <c r="K43">
        <f>K19</f>
        <v>13750</v>
      </c>
      <c r="L43" s="138">
        <f>V19</f>
        <v>375</v>
      </c>
      <c r="M43" s="138">
        <f t="shared" si="41"/>
        <v>350</v>
      </c>
      <c r="N43" s="138">
        <f t="shared" si="41"/>
        <v>126</v>
      </c>
      <c r="O43" s="138">
        <f t="shared" si="41"/>
        <v>56</v>
      </c>
      <c r="P43" s="114">
        <f t="shared" ref="P43:R46" si="47">$T43/3</f>
        <v>56</v>
      </c>
      <c r="Q43" s="114">
        <f t="shared" si="47"/>
        <v>56</v>
      </c>
      <c r="R43" s="114">
        <f t="shared" si="47"/>
        <v>56</v>
      </c>
      <c r="T43" s="138">
        <f t="shared" si="34"/>
        <v>168</v>
      </c>
      <c r="U43">
        <f t="shared" si="39"/>
        <v>17900</v>
      </c>
      <c r="V43" s="138">
        <f t="shared" si="42"/>
        <v>17900</v>
      </c>
      <c r="W43" s="138">
        <f t="shared" si="42"/>
        <v>17000</v>
      </c>
      <c r="X43" s="138">
        <f>T19</f>
        <v>168</v>
      </c>
      <c r="Y43">
        <f>H19</f>
        <v>0</v>
      </c>
      <c r="Z43">
        <f>J19</f>
        <v>0</v>
      </c>
      <c r="AA43">
        <f>L19</f>
        <v>2000</v>
      </c>
      <c r="AB43">
        <f t="shared" si="43"/>
        <v>0</v>
      </c>
      <c r="AC43">
        <f>U19</f>
        <v>0</v>
      </c>
      <c r="AD43">
        <f t="shared" si="44"/>
        <v>0</v>
      </c>
      <c r="AE43">
        <f t="shared" si="44"/>
        <v>0</v>
      </c>
      <c r="AF43" s="138">
        <f t="shared" si="44"/>
        <v>0</v>
      </c>
      <c r="AH43" s="149"/>
      <c r="AI43" s="149" t="s">
        <v>273</v>
      </c>
      <c r="AJ43" s="149">
        <f t="shared" si="45"/>
        <v>0</v>
      </c>
      <c r="AK43" s="149">
        <f t="shared" si="45"/>
        <v>3.7500000000000001E-4</v>
      </c>
      <c r="AL43" s="149">
        <f t="shared" si="45"/>
        <v>6.9999999999999999E-4</v>
      </c>
      <c r="AM43" s="149">
        <f t="shared" si="45"/>
        <v>0</v>
      </c>
      <c r="AN43" s="149">
        <f t="shared" si="45"/>
        <v>0</v>
      </c>
      <c r="AO43" s="149">
        <f t="shared" si="45"/>
        <v>2E-3</v>
      </c>
      <c r="AP43" s="149">
        <f t="shared" si="45"/>
        <v>0</v>
      </c>
      <c r="AQ43" s="149">
        <f t="shared" si="46"/>
        <v>0</v>
      </c>
      <c r="AR43" s="149">
        <f t="shared" si="46"/>
        <v>1.375E-2</v>
      </c>
      <c r="AS43" s="149">
        <f t="shared" si="46"/>
        <v>3.7500000000000001E-4</v>
      </c>
      <c r="AT43" s="149">
        <f t="shared" si="46"/>
        <v>3.5E-4</v>
      </c>
      <c r="AU43" s="149">
        <f t="shared" si="46"/>
        <v>1.26E-4</v>
      </c>
      <c r="AV43" s="149">
        <f t="shared" si="46"/>
        <v>5.5999999999999999E-5</v>
      </c>
      <c r="AW43" s="149">
        <f t="shared" si="46"/>
        <v>5.5999999999999999E-5</v>
      </c>
      <c r="AX43" s="149">
        <f t="shared" si="46"/>
        <v>5.5999999999999999E-5</v>
      </c>
      <c r="AY43" s="149">
        <f t="shared" si="46"/>
        <v>5.5999999999999999E-5</v>
      </c>
      <c r="BA43" s="149" t="s">
        <v>273</v>
      </c>
      <c r="BB43" s="149">
        <f t="shared" si="33"/>
        <v>1.7000000000000001E-2</v>
      </c>
    </row>
    <row r="44" spans="2:54" x14ac:dyDescent="0.15">
      <c r="B44" s="142" t="s">
        <v>274</v>
      </c>
      <c r="C44">
        <f t="shared" si="40"/>
        <v>4135</v>
      </c>
      <c r="D44">
        <f t="shared" si="40"/>
        <v>0</v>
      </c>
      <c r="E44">
        <f t="shared" si="40"/>
        <v>0</v>
      </c>
      <c r="F44">
        <f t="shared" si="40"/>
        <v>0</v>
      </c>
      <c r="G44">
        <f t="shared" si="40"/>
        <v>0</v>
      </c>
      <c r="H44">
        <f t="shared" si="29"/>
        <v>0</v>
      </c>
      <c r="I44" s="138">
        <f t="shared" si="30"/>
        <v>0</v>
      </c>
      <c r="J44">
        <f t="shared" si="38"/>
        <v>42</v>
      </c>
      <c r="K44">
        <f>K20</f>
        <v>0</v>
      </c>
      <c r="L44" s="138">
        <f>V20</f>
        <v>0</v>
      </c>
      <c r="M44" s="138">
        <f t="shared" si="41"/>
        <v>0</v>
      </c>
      <c r="N44" s="138">
        <f t="shared" si="41"/>
        <v>4135</v>
      </c>
      <c r="O44" s="138">
        <f t="shared" si="41"/>
        <v>0</v>
      </c>
      <c r="P44" s="114">
        <f t="shared" si="47"/>
        <v>0</v>
      </c>
      <c r="Q44" s="114">
        <f t="shared" si="47"/>
        <v>0</v>
      </c>
      <c r="R44" s="114">
        <f t="shared" si="47"/>
        <v>0</v>
      </c>
      <c r="T44" s="138">
        <f t="shared" si="34"/>
        <v>0</v>
      </c>
      <c r="U44">
        <f t="shared" si="39"/>
        <v>8312</v>
      </c>
      <c r="V44" s="138">
        <f t="shared" si="42"/>
        <v>8312</v>
      </c>
      <c r="W44" s="138">
        <f t="shared" si="42"/>
        <v>4177</v>
      </c>
      <c r="X44" s="138">
        <f>T20</f>
        <v>0</v>
      </c>
      <c r="Y44">
        <f>H20</f>
        <v>0</v>
      </c>
      <c r="Z44">
        <f>J20</f>
        <v>0</v>
      </c>
      <c r="AA44">
        <f t="shared" si="43"/>
        <v>0</v>
      </c>
      <c r="AB44">
        <f t="shared" si="43"/>
        <v>0</v>
      </c>
      <c r="AC44">
        <f>U20</f>
        <v>0</v>
      </c>
      <c r="AD44">
        <f t="shared" si="44"/>
        <v>0</v>
      </c>
      <c r="AE44">
        <f t="shared" si="44"/>
        <v>42</v>
      </c>
      <c r="AF44" s="138">
        <f t="shared" si="44"/>
        <v>0</v>
      </c>
      <c r="AH44" s="149"/>
      <c r="AI44" s="149" t="s">
        <v>274</v>
      </c>
      <c r="AJ44" s="149">
        <f t="shared" si="45"/>
        <v>4.1349999999999998E-3</v>
      </c>
      <c r="AK44" s="149">
        <f t="shared" si="45"/>
        <v>0</v>
      </c>
      <c r="AL44" s="149">
        <f t="shared" si="45"/>
        <v>0</v>
      </c>
      <c r="AM44" s="149">
        <f t="shared" si="45"/>
        <v>0</v>
      </c>
      <c r="AN44" s="149">
        <f t="shared" si="45"/>
        <v>0</v>
      </c>
      <c r="AO44" s="149">
        <f t="shared" si="45"/>
        <v>0</v>
      </c>
      <c r="AP44" s="149">
        <f t="shared" si="45"/>
        <v>0</v>
      </c>
      <c r="AQ44" s="149">
        <f t="shared" si="46"/>
        <v>4.1999999999999998E-5</v>
      </c>
      <c r="AR44" s="149">
        <f t="shared" si="46"/>
        <v>0</v>
      </c>
      <c r="AS44" s="149">
        <f t="shared" si="46"/>
        <v>0</v>
      </c>
      <c r="AT44" s="149">
        <f t="shared" si="46"/>
        <v>0</v>
      </c>
      <c r="AU44" s="149">
        <f t="shared" si="46"/>
        <v>4.1349999999999998E-3</v>
      </c>
      <c r="AV44" s="149">
        <f t="shared" si="46"/>
        <v>0</v>
      </c>
      <c r="AW44" s="149">
        <f t="shared" si="46"/>
        <v>0</v>
      </c>
      <c r="AX44" s="149">
        <f t="shared" si="46"/>
        <v>0</v>
      </c>
      <c r="AY44" s="149">
        <f t="shared" si="46"/>
        <v>0</v>
      </c>
      <c r="BA44" s="149" t="s">
        <v>274</v>
      </c>
      <c r="BB44" s="149">
        <f t="shared" si="33"/>
        <v>4.1770000000000002E-3</v>
      </c>
    </row>
    <row r="45" spans="2:54" x14ac:dyDescent="0.15">
      <c r="B45" s="142" t="s">
        <v>275</v>
      </c>
      <c r="C45">
        <f t="shared" si="40"/>
        <v>8552</v>
      </c>
      <c r="D45">
        <f t="shared" si="40"/>
        <v>0</v>
      </c>
      <c r="E45">
        <f t="shared" si="40"/>
        <v>0</v>
      </c>
      <c r="F45">
        <f t="shared" si="40"/>
        <v>1426</v>
      </c>
      <c r="G45">
        <f t="shared" si="40"/>
        <v>0</v>
      </c>
      <c r="H45">
        <f t="shared" si="29"/>
        <v>1782</v>
      </c>
      <c r="I45" s="138">
        <f t="shared" si="30"/>
        <v>1368</v>
      </c>
      <c r="J45">
        <f t="shared" si="38"/>
        <v>713</v>
      </c>
      <c r="K45">
        <f>K21</f>
        <v>6055</v>
      </c>
      <c r="L45" s="138">
        <f>V21</f>
        <v>0</v>
      </c>
      <c r="M45" s="138">
        <f t="shared" si="41"/>
        <v>2053</v>
      </c>
      <c r="N45" s="138">
        <f t="shared" si="41"/>
        <v>970.21841052029731</v>
      </c>
      <c r="O45" s="138">
        <f t="shared" si="41"/>
        <v>0</v>
      </c>
      <c r="P45" s="114">
        <f t="shared" si="47"/>
        <v>2157</v>
      </c>
      <c r="Q45" s="114">
        <f t="shared" si="47"/>
        <v>2157</v>
      </c>
      <c r="R45" s="114">
        <f t="shared" si="47"/>
        <v>2157</v>
      </c>
      <c r="T45" s="138">
        <f t="shared" si="34"/>
        <v>6471</v>
      </c>
      <c r="U45">
        <f t="shared" si="39"/>
        <v>29390.218410520298</v>
      </c>
      <c r="V45" s="138">
        <f t="shared" si="42"/>
        <v>30644</v>
      </c>
      <c r="W45" s="138">
        <f t="shared" si="42"/>
        <v>22092</v>
      </c>
      <c r="X45" s="138">
        <f>T21</f>
        <v>2908</v>
      </c>
      <c r="Y45">
        <f>H21</f>
        <v>0</v>
      </c>
      <c r="Z45">
        <f>J21</f>
        <v>2137</v>
      </c>
      <c r="AA45">
        <f t="shared" si="43"/>
        <v>713</v>
      </c>
      <c r="AB45">
        <f t="shared" si="43"/>
        <v>1069</v>
      </c>
      <c r="AC45">
        <f>U21</f>
        <v>1368</v>
      </c>
      <c r="AD45">
        <f t="shared" si="44"/>
        <v>713</v>
      </c>
      <c r="AE45">
        <f t="shared" si="44"/>
        <v>0</v>
      </c>
      <c r="AF45" s="138">
        <f t="shared" si="44"/>
        <v>1426</v>
      </c>
      <c r="AH45" s="149"/>
      <c r="AI45" s="149" t="s">
        <v>275</v>
      </c>
      <c r="AJ45" s="149">
        <f t="shared" si="45"/>
        <v>8.5520000000000006E-3</v>
      </c>
      <c r="AK45" s="149">
        <f t="shared" si="45"/>
        <v>0</v>
      </c>
      <c r="AL45" s="149">
        <f t="shared" si="45"/>
        <v>0</v>
      </c>
      <c r="AM45" s="149">
        <f t="shared" si="45"/>
        <v>1.426E-3</v>
      </c>
      <c r="AN45" s="149">
        <f t="shared" si="45"/>
        <v>0</v>
      </c>
      <c r="AO45" s="149">
        <f t="shared" si="45"/>
        <v>1.7819999999999999E-3</v>
      </c>
      <c r="AP45" s="149">
        <f t="shared" si="45"/>
        <v>1.3680000000000001E-3</v>
      </c>
      <c r="AQ45" s="149">
        <f t="shared" si="46"/>
        <v>7.1299999999999998E-4</v>
      </c>
      <c r="AR45" s="149">
        <f t="shared" si="46"/>
        <v>6.0549999999999996E-3</v>
      </c>
      <c r="AS45" s="149">
        <f t="shared" si="46"/>
        <v>0</v>
      </c>
      <c r="AT45" s="149">
        <f t="shared" si="46"/>
        <v>2.0530000000000001E-3</v>
      </c>
      <c r="AU45" s="149">
        <f t="shared" si="46"/>
        <v>9.7021841052029735E-4</v>
      </c>
      <c r="AV45" s="149">
        <f t="shared" si="46"/>
        <v>0</v>
      </c>
      <c r="AW45" s="149">
        <f t="shared" si="46"/>
        <v>2.1570000000000001E-3</v>
      </c>
      <c r="AX45" s="149">
        <f t="shared" si="46"/>
        <v>2.1570000000000001E-3</v>
      </c>
      <c r="AY45" s="149">
        <f t="shared" si="46"/>
        <v>2.1570000000000001E-3</v>
      </c>
      <c r="BA45" s="149" t="s">
        <v>275</v>
      </c>
      <c r="BB45" s="149">
        <f t="shared" si="33"/>
        <v>2.2092000000000001E-2</v>
      </c>
    </row>
    <row r="46" spans="2:54" x14ac:dyDescent="0.15">
      <c r="B46" s="142" t="s">
        <v>309</v>
      </c>
      <c r="C46">
        <f t="shared" si="40"/>
        <v>4898</v>
      </c>
      <c r="D46">
        <f t="shared" si="40"/>
        <v>0</v>
      </c>
      <c r="E46">
        <f t="shared" si="40"/>
        <v>0</v>
      </c>
      <c r="F46">
        <f t="shared" si="40"/>
        <v>817</v>
      </c>
      <c r="G46">
        <f t="shared" si="40"/>
        <v>0</v>
      </c>
      <c r="H46">
        <f t="shared" si="29"/>
        <v>1021</v>
      </c>
      <c r="I46" s="138">
        <f t="shared" si="30"/>
        <v>784</v>
      </c>
      <c r="J46">
        <f t="shared" si="38"/>
        <v>408</v>
      </c>
      <c r="K46">
        <f>K22</f>
        <v>3468</v>
      </c>
      <c r="L46" s="138">
        <f>V22</f>
        <v>0</v>
      </c>
      <c r="M46" s="138">
        <f t="shared" si="41"/>
        <v>1176</v>
      </c>
      <c r="N46" s="138">
        <f t="shared" si="41"/>
        <v>555.78158947970269</v>
      </c>
      <c r="O46" s="138">
        <f t="shared" si="41"/>
        <v>0</v>
      </c>
      <c r="P46" s="114">
        <f t="shared" si="47"/>
        <v>1235.3333333333333</v>
      </c>
      <c r="Q46" s="114">
        <f t="shared" si="47"/>
        <v>1235.3333333333333</v>
      </c>
      <c r="R46" s="114">
        <f t="shared" si="47"/>
        <v>1235.3333333333333</v>
      </c>
      <c r="T46" s="138">
        <f t="shared" si="34"/>
        <v>3706</v>
      </c>
      <c r="U46">
        <f t="shared" si="39"/>
        <v>16833.781589479702</v>
      </c>
      <c r="V46" s="138">
        <f t="shared" si="42"/>
        <v>17551</v>
      </c>
      <c r="W46" s="138">
        <f t="shared" si="42"/>
        <v>12653</v>
      </c>
      <c r="X46" s="138">
        <f>T22</f>
        <v>1665</v>
      </c>
      <c r="Y46">
        <f>H22</f>
        <v>0</v>
      </c>
      <c r="Z46">
        <f>J22</f>
        <v>1224</v>
      </c>
      <c r="AA46">
        <f t="shared" si="43"/>
        <v>408</v>
      </c>
      <c r="AB46">
        <f t="shared" si="43"/>
        <v>613</v>
      </c>
      <c r="AC46">
        <f>U22</f>
        <v>784</v>
      </c>
      <c r="AD46">
        <f t="shared" si="44"/>
        <v>408</v>
      </c>
      <c r="AE46">
        <f t="shared" si="44"/>
        <v>0</v>
      </c>
      <c r="AF46" s="138">
        <f t="shared" si="44"/>
        <v>817</v>
      </c>
      <c r="AH46" s="149"/>
      <c r="AI46" s="149" t="s">
        <v>309</v>
      </c>
      <c r="AJ46" s="149">
        <f t="shared" si="45"/>
        <v>4.8979999999999996E-3</v>
      </c>
      <c r="AK46" s="149">
        <f t="shared" si="45"/>
        <v>0</v>
      </c>
      <c r="AL46" s="149">
        <f t="shared" si="45"/>
        <v>0</v>
      </c>
      <c r="AM46" s="149">
        <f t="shared" si="45"/>
        <v>8.1700000000000002E-4</v>
      </c>
      <c r="AN46" s="149">
        <f t="shared" si="45"/>
        <v>0</v>
      </c>
      <c r="AO46" s="149">
        <f t="shared" si="45"/>
        <v>1.021E-3</v>
      </c>
      <c r="AP46" s="149">
        <f t="shared" si="45"/>
        <v>7.8399999999999997E-4</v>
      </c>
      <c r="AQ46" s="149">
        <f t="shared" si="46"/>
        <v>4.08E-4</v>
      </c>
      <c r="AR46" s="149">
        <f t="shared" si="46"/>
        <v>3.4680000000000002E-3</v>
      </c>
      <c r="AS46" s="149">
        <f t="shared" si="46"/>
        <v>0</v>
      </c>
      <c r="AT46" s="149">
        <f t="shared" si="46"/>
        <v>1.176E-3</v>
      </c>
      <c r="AU46" s="149">
        <f t="shared" si="46"/>
        <v>5.5578158947970266E-4</v>
      </c>
      <c r="AV46" s="149">
        <f t="shared" si="46"/>
        <v>0</v>
      </c>
      <c r="AW46" s="149">
        <f t="shared" si="46"/>
        <v>1.2353333333333333E-3</v>
      </c>
      <c r="AX46" s="149">
        <f t="shared" si="46"/>
        <v>1.2353333333333333E-3</v>
      </c>
      <c r="AY46" s="149">
        <f t="shared" si="46"/>
        <v>1.2353333333333333E-3</v>
      </c>
      <c r="BA46" s="149" t="s">
        <v>309</v>
      </c>
      <c r="BB46" s="149">
        <f>W46/10^6</f>
        <v>1.2652999999999999E-2</v>
      </c>
    </row>
    <row r="47" spans="2:54" x14ac:dyDescent="0.15">
      <c r="B47" s="121" t="s">
        <v>221</v>
      </c>
      <c r="C47" s="155">
        <f>SUM(C28:C46)</f>
        <v>40666</v>
      </c>
      <c r="D47" s="155">
        <f t="shared" ref="D47:R47" si="48">SUM(D28:D46)</f>
        <v>15800</v>
      </c>
      <c r="E47" s="155">
        <f t="shared" si="48"/>
        <v>3674</v>
      </c>
      <c r="F47" s="155">
        <f t="shared" si="48"/>
        <v>11822</v>
      </c>
      <c r="G47" s="155">
        <f t="shared" si="48"/>
        <v>303</v>
      </c>
      <c r="H47" s="155">
        <f>SUM(H28:H46)</f>
        <v>10848</v>
      </c>
      <c r="I47" s="155">
        <f>SUM(I28:I46)</f>
        <v>7254</v>
      </c>
      <c r="J47" s="155">
        <f t="shared" si="48"/>
        <v>6637</v>
      </c>
      <c r="K47" s="155">
        <f t="shared" si="48"/>
        <v>78059</v>
      </c>
      <c r="L47" s="155">
        <f t="shared" si="48"/>
        <v>13637</v>
      </c>
      <c r="M47" s="155">
        <f t="shared" si="48"/>
        <v>12846</v>
      </c>
      <c r="N47" s="155">
        <f t="shared" si="48"/>
        <v>11731</v>
      </c>
      <c r="O47" s="155">
        <f t="shared" si="48"/>
        <v>299</v>
      </c>
      <c r="P47" s="155">
        <f t="shared" si="48"/>
        <v>8541.3333333333321</v>
      </c>
      <c r="Q47" s="155">
        <f t="shared" si="48"/>
        <v>8541.3333333333321</v>
      </c>
      <c r="R47" s="155">
        <f t="shared" si="48"/>
        <v>8541.3333333333321</v>
      </c>
      <c r="T47" s="121">
        <f t="shared" si="34"/>
        <v>15279</v>
      </c>
      <c r="U47" s="155">
        <f t="shared" si="39"/>
        <v>239200.00000000003</v>
      </c>
      <c r="V47" s="155">
        <f>SUM(V28:V46)</f>
        <v>259039</v>
      </c>
      <c r="W47" s="155">
        <f>SUM(W28:W46)</f>
        <v>182637</v>
      </c>
      <c r="X47" s="121">
        <f t="shared" ref="X47:AF47" si="49">SUM(X28:X41)</f>
        <v>6055</v>
      </c>
      <c r="Y47" s="121">
        <f t="shared" si="49"/>
        <v>500</v>
      </c>
      <c r="Z47" s="121">
        <f t="shared" si="49"/>
        <v>4656</v>
      </c>
      <c r="AA47" s="121">
        <f>SUM(AA28:AA41)</f>
        <v>3243</v>
      </c>
      <c r="AB47" s="121">
        <f t="shared" si="49"/>
        <v>2802</v>
      </c>
      <c r="AC47" s="121">
        <f t="shared" si="49"/>
        <v>5102</v>
      </c>
      <c r="AD47" s="121">
        <f t="shared" si="49"/>
        <v>5367</v>
      </c>
      <c r="AE47" s="121">
        <f t="shared" si="49"/>
        <v>107</v>
      </c>
      <c r="AF47" s="121">
        <f t="shared" si="49"/>
        <v>4068</v>
      </c>
    </row>
    <row r="48" spans="2:54" x14ac:dyDescent="0.15">
      <c r="B48" s="142" t="s">
        <v>7</v>
      </c>
      <c r="C48" s="115">
        <f t="shared" ref="C48:K48" si="50">C47/$U$47</f>
        <v>0.17000836120401336</v>
      </c>
      <c r="D48" s="115">
        <f t="shared" si="50"/>
        <v>6.6053511705685616E-2</v>
      </c>
      <c r="E48" s="115">
        <f t="shared" si="50"/>
        <v>1.5359531772575249E-2</v>
      </c>
      <c r="F48" s="115">
        <f t="shared" si="50"/>
        <v>4.9423076923076917E-2</v>
      </c>
      <c r="G48" s="115">
        <f t="shared" si="50"/>
        <v>1.2667224080267557E-3</v>
      </c>
      <c r="H48" s="115">
        <f t="shared" si="50"/>
        <v>4.5351170568561867E-2</v>
      </c>
      <c r="I48" s="115">
        <f t="shared" si="50"/>
        <v>3.0326086956521735E-2</v>
      </c>
      <c r="J48" s="115">
        <f t="shared" si="50"/>
        <v>2.7746655518394645E-2</v>
      </c>
      <c r="K48" s="115">
        <f t="shared" si="50"/>
        <v>0.32633361204013372</v>
      </c>
      <c r="L48" s="115">
        <f t="shared" ref="L48:R48" si="51">L47/$U$47</f>
        <v>5.7010869565217386E-2</v>
      </c>
      <c r="M48" s="115">
        <f t="shared" si="51"/>
        <v>5.3704013377926414E-2</v>
      </c>
      <c r="N48" s="115">
        <f t="shared" si="51"/>
        <v>4.9042642140468225E-2</v>
      </c>
      <c r="O48" s="115">
        <f t="shared" si="51"/>
        <v>1.2499999999999998E-3</v>
      </c>
      <c r="P48" s="115">
        <f t="shared" si="51"/>
        <v>3.5707915273132655E-2</v>
      </c>
      <c r="Q48" s="115">
        <f t="shared" si="51"/>
        <v>3.5707915273132655E-2</v>
      </c>
      <c r="R48" s="115">
        <f t="shared" si="51"/>
        <v>3.5707915273132655E-2</v>
      </c>
      <c r="BA48" s="36" t="s">
        <v>250</v>
      </c>
    </row>
    <row r="50" spans="1:25" x14ac:dyDescent="0.15">
      <c r="B50" s="141" t="s">
        <v>239</v>
      </c>
    </row>
    <row r="51" spans="1:25" x14ac:dyDescent="0.15">
      <c r="B51" s="142" t="s">
        <v>243</v>
      </c>
      <c r="C51" s="1"/>
      <c r="D51" s="1"/>
      <c r="E51" s="1"/>
      <c r="F51" s="1"/>
      <c r="G51" s="1"/>
      <c r="H51" s="1"/>
      <c r="I51" s="1"/>
      <c r="J51" s="1"/>
      <c r="K51" s="1"/>
      <c r="L51" s="8"/>
    </row>
    <row r="52" spans="1:25" x14ac:dyDescent="0.15">
      <c r="C52" s="1"/>
      <c r="D52" s="1"/>
      <c r="E52" s="1"/>
      <c r="F52" s="1"/>
      <c r="G52" s="1"/>
      <c r="H52" s="1"/>
      <c r="I52" s="1"/>
      <c r="J52" s="1"/>
      <c r="K52" s="1"/>
      <c r="L52" s="1"/>
      <c r="R52" t="s">
        <v>231</v>
      </c>
    </row>
    <row r="53" spans="1:25" x14ac:dyDescent="0.15">
      <c r="A53" s="138"/>
      <c r="D53" s="138"/>
      <c r="G53" s="138"/>
      <c r="H53" s="138"/>
      <c r="I53" s="138"/>
      <c r="J53" s="138"/>
      <c r="K53" s="138"/>
      <c r="L53" s="138"/>
      <c r="N53" s="138"/>
      <c r="O53" s="138"/>
      <c r="P53" t="s">
        <v>265</v>
      </c>
      <c r="R53" s="138">
        <v>0</v>
      </c>
      <c r="S53" s="138"/>
      <c r="U53" s="138"/>
      <c r="V53" s="138"/>
    </row>
    <row r="54" spans="1:25" x14ac:dyDescent="0.15">
      <c r="A54" s="143" t="s">
        <v>244</v>
      </c>
      <c r="B54" s="144"/>
      <c r="C54" s="144"/>
      <c r="D54" s="145"/>
      <c r="E54" s="145"/>
      <c r="F54" s="145"/>
      <c r="G54" s="144"/>
      <c r="H54" s="144"/>
      <c r="I54" s="144"/>
      <c r="J54" s="144"/>
      <c r="K54" s="145"/>
      <c r="L54" s="145"/>
      <c r="M54" s="144"/>
      <c r="N54" s="144"/>
      <c r="P54" t="s">
        <v>266</v>
      </c>
      <c r="Q54" s="138"/>
      <c r="R54" s="138">
        <v>150</v>
      </c>
      <c r="V54" s="138"/>
      <c r="W54" s="138"/>
      <c r="X54" s="138"/>
    </row>
    <row r="55" spans="1:25" x14ac:dyDescent="0.15">
      <c r="L55" s="138"/>
      <c r="X55" s="138"/>
      <c r="Y55" s="138"/>
    </row>
    <row r="56" spans="1:25" x14ac:dyDescent="0.15">
      <c r="B56" s="138"/>
    </row>
    <row r="57" spans="1:25" x14ac:dyDescent="0.15">
      <c r="C57" t="s">
        <v>233</v>
      </c>
      <c r="D57" t="s">
        <v>234</v>
      </c>
      <c r="E57" t="s">
        <v>235</v>
      </c>
      <c r="F57" t="s">
        <v>101</v>
      </c>
      <c r="G57" t="s">
        <v>155</v>
      </c>
      <c r="H57" t="s">
        <v>236</v>
      </c>
      <c r="J57" t="s">
        <v>222</v>
      </c>
      <c r="K57" t="s">
        <v>102</v>
      </c>
      <c r="L57" t="s">
        <v>223</v>
      </c>
      <c r="M57" t="s">
        <v>224</v>
      </c>
      <c r="N57" t="s">
        <v>225</v>
      </c>
      <c r="O57" t="s">
        <v>226</v>
      </c>
      <c r="P57" t="s">
        <v>227</v>
      </c>
      <c r="Q57" t="s">
        <v>194</v>
      </c>
      <c r="R57" t="s">
        <v>103</v>
      </c>
      <c r="S57" t="s">
        <v>154</v>
      </c>
      <c r="T57" t="s">
        <v>228</v>
      </c>
      <c r="U57" t="s">
        <v>229</v>
      </c>
      <c r="V57" t="s">
        <v>195</v>
      </c>
      <c r="W57" t="s">
        <v>230</v>
      </c>
      <c r="X57" t="s">
        <v>231</v>
      </c>
    </row>
    <row r="58" spans="1:25" x14ac:dyDescent="0.15">
      <c r="A58" t="s">
        <v>81</v>
      </c>
      <c r="C58" s="138">
        <v>2455</v>
      </c>
      <c r="D58">
        <v>0</v>
      </c>
      <c r="E58">
        <v>0</v>
      </c>
      <c r="F58" s="138">
        <v>1145</v>
      </c>
      <c r="G58">
        <v>0</v>
      </c>
      <c r="H58">
        <v>0</v>
      </c>
      <c r="J58">
        <v>819</v>
      </c>
      <c r="K58">
        <v>0</v>
      </c>
      <c r="L58">
        <v>0</v>
      </c>
      <c r="M58">
        <v>0</v>
      </c>
      <c r="N58">
        <v>409</v>
      </c>
      <c r="O58">
        <v>0</v>
      </c>
      <c r="P58" s="138">
        <v>1472</v>
      </c>
      <c r="Q58" s="138">
        <v>1596</v>
      </c>
      <c r="R58">
        <v>0</v>
      </c>
      <c r="S58">
        <v>0</v>
      </c>
      <c r="T58">
        <v>0</v>
      </c>
      <c r="U58">
        <v>859</v>
      </c>
      <c r="V58">
        <v>0</v>
      </c>
      <c r="W58" s="138">
        <v>10719</v>
      </c>
      <c r="X58" s="138">
        <v>6300</v>
      </c>
    </row>
    <row r="59" spans="1:25" x14ac:dyDescent="0.15">
      <c r="A59" s="160" t="s">
        <v>80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 s="138">
        <v>5000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38">
        <v>5000</v>
      </c>
      <c r="X59" s="138">
        <v>5000</v>
      </c>
    </row>
    <row r="60" spans="1:25" x14ac:dyDescent="0.15">
      <c r="A60" s="160" t="s">
        <v>218</v>
      </c>
      <c r="C60">
        <v>0</v>
      </c>
      <c r="D60">
        <v>250</v>
      </c>
      <c r="E60">
        <v>0</v>
      </c>
      <c r="F60">
        <v>125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125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625</v>
      </c>
      <c r="X60">
        <v>500</v>
      </c>
    </row>
    <row r="61" spans="1:25" x14ac:dyDescent="0.15">
      <c r="A61" s="160" t="s">
        <v>78</v>
      </c>
      <c r="C61">
        <v>0</v>
      </c>
      <c r="D61" s="138">
        <v>5000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138">
        <v>5000</v>
      </c>
      <c r="X61" s="138">
        <v>5000</v>
      </c>
    </row>
    <row r="62" spans="1:25" x14ac:dyDescent="0.15">
      <c r="A62" t="s">
        <v>219</v>
      </c>
      <c r="C62" s="138">
        <v>1603</v>
      </c>
      <c r="D62">
        <v>0</v>
      </c>
      <c r="E62">
        <v>0</v>
      </c>
      <c r="F62" s="138">
        <v>3801</v>
      </c>
      <c r="G62">
        <v>0</v>
      </c>
      <c r="H62">
        <v>0</v>
      </c>
      <c r="J62">
        <v>1</v>
      </c>
      <c r="K62">
        <v>0</v>
      </c>
      <c r="L62">
        <v>0</v>
      </c>
      <c r="M62">
        <v>0</v>
      </c>
      <c r="N62" s="138">
        <v>1601</v>
      </c>
      <c r="O62">
        <v>0</v>
      </c>
      <c r="P62">
        <v>2</v>
      </c>
      <c r="Q62" s="138">
        <v>1042</v>
      </c>
      <c r="R62">
        <v>0</v>
      </c>
      <c r="S62">
        <v>0</v>
      </c>
      <c r="T62">
        <v>0</v>
      </c>
      <c r="U62">
        <v>561</v>
      </c>
      <c r="V62">
        <v>0</v>
      </c>
      <c r="W62" s="138">
        <v>12413</v>
      </c>
      <c r="X62" s="138">
        <v>7008</v>
      </c>
    </row>
    <row r="63" spans="1:25" x14ac:dyDescent="0.15">
      <c r="A63" s="160" t="s">
        <v>216</v>
      </c>
      <c r="C63">
        <v>0</v>
      </c>
      <c r="D63">
        <v>150</v>
      </c>
      <c r="E63">
        <v>0</v>
      </c>
      <c r="F63">
        <v>150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450</v>
      </c>
      <c r="X63">
        <v>300</v>
      </c>
    </row>
    <row r="64" spans="1:25" x14ac:dyDescent="0.15">
      <c r="A64" t="s">
        <v>220</v>
      </c>
      <c r="C64" s="138">
        <v>6710</v>
      </c>
      <c r="D64">
        <v>0</v>
      </c>
      <c r="E64">
        <v>0</v>
      </c>
      <c r="F64">
        <v>120</v>
      </c>
      <c r="G64">
        <v>0</v>
      </c>
      <c r="H64">
        <v>80</v>
      </c>
      <c r="J64">
        <v>0</v>
      </c>
      <c r="K64" s="138">
        <v>6570</v>
      </c>
      <c r="L64">
        <v>0</v>
      </c>
      <c r="M64">
        <v>0</v>
      </c>
      <c r="N64">
        <v>120</v>
      </c>
      <c r="O64">
        <v>10</v>
      </c>
      <c r="P64">
        <v>0</v>
      </c>
      <c r="Q64">
        <v>0</v>
      </c>
      <c r="R64" s="138">
        <v>6710</v>
      </c>
      <c r="S64">
        <v>0</v>
      </c>
      <c r="T64">
        <v>80</v>
      </c>
      <c r="U64">
        <v>0</v>
      </c>
      <c r="V64">
        <v>0</v>
      </c>
      <c r="W64" s="138">
        <v>20520</v>
      </c>
      <c r="X64" s="138">
        <v>13610</v>
      </c>
    </row>
    <row r="65" spans="1:24" x14ac:dyDescent="0.15">
      <c r="A65" t="s">
        <v>75</v>
      </c>
      <c r="C65" s="138">
        <v>40960</v>
      </c>
      <c r="D65">
        <v>0</v>
      </c>
      <c r="E65" s="138">
        <v>5000</v>
      </c>
      <c r="F65" s="138">
        <v>8541</v>
      </c>
      <c r="G65">
        <v>0</v>
      </c>
      <c r="H65">
        <v>0</v>
      </c>
      <c r="J65" s="138">
        <v>10295</v>
      </c>
      <c r="K65" s="138">
        <v>28499</v>
      </c>
      <c r="L65" s="138">
        <v>3356</v>
      </c>
      <c r="M65" s="138">
        <v>5033</v>
      </c>
      <c r="N65" s="138">
        <v>6472</v>
      </c>
      <c r="O65">
        <v>0</v>
      </c>
      <c r="P65" s="138">
        <v>7136</v>
      </c>
      <c r="Q65" s="138">
        <v>15120</v>
      </c>
      <c r="R65" s="138">
        <v>12466</v>
      </c>
      <c r="S65" s="138">
        <v>2300</v>
      </c>
      <c r="T65" s="138">
        <v>13686</v>
      </c>
      <c r="U65" s="138">
        <v>6688</v>
      </c>
      <c r="V65">
        <v>0</v>
      </c>
      <c r="W65" s="138">
        <v>184388</v>
      </c>
      <c r="X65" s="138">
        <v>119592</v>
      </c>
    </row>
    <row r="66" spans="1:24" x14ac:dyDescent="0.15">
      <c r="A66" s="160" t="s">
        <v>74</v>
      </c>
      <c r="C66" s="138">
        <v>4258</v>
      </c>
      <c r="D66">
        <v>0</v>
      </c>
      <c r="E66">
        <v>0</v>
      </c>
      <c r="F66">
        <v>370</v>
      </c>
      <c r="G66">
        <v>235</v>
      </c>
      <c r="H66">
        <v>0</v>
      </c>
      <c r="J66">
        <v>70</v>
      </c>
      <c r="K66">
        <v>0</v>
      </c>
      <c r="L66">
        <v>0</v>
      </c>
      <c r="M66">
        <v>0</v>
      </c>
      <c r="N66">
        <v>584</v>
      </c>
      <c r="O66">
        <v>0</v>
      </c>
      <c r="P66">
        <v>613</v>
      </c>
      <c r="Q66" s="138">
        <v>3019</v>
      </c>
      <c r="R66">
        <v>0</v>
      </c>
      <c r="S66">
        <v>0</v>
      </c>
      <c r="T66">
        <v>0</v>
      </c>
      <c r="U66" s="138">
        <v>1474</v>
      </c>
      <c r="V66">
        <v>0</v>
      </c>
      <c r="W66" s="138">
        <v>11063</v>
      </c>
      <c r="X66" s="138">
        <v>6130</v>
      </c>
    </row>
    <row r="67" spans="1:24" x14ac:dyDescent="0.15">
      <c r="A67" t="s">
        <v>73</v>
      </c>
      <c r="C67" s="138">
        <v>1610</v>
      </c>
      <c r="D67">
        <v>0</v>
      </c>
      <c r="E67">
        <v>0</v>
      </c>
      <c r="F67">
        <v>777</v>
      </c>
      <c r="G67">
        <v>0</v>
      </c>
      <c r="H67">
        <v>0</v>
      </c>
      <c r="J67">
        <v>319</v>
      </c>
      <c r="K67">
        <v>905</v>
      </c>
      <c r="L67">
        <v>107</v>
      </c>
      <c r="M67" s="138">
        <v>1260</v>
      </c>
      <c r="N67">
        <v>670</v>
      </c>
      <c r="O67">
        <v>0</v>
      </c>
      <c r="P67">
        <v>213</v>
      </c>
      <c r="Q67">
        <v>523</v>
      </c>
      <c r="R67">
        <v>332</v>
      </c>
      <c r="S67">
        <v>0</v>
      </c>
      <c r="T67">
        <v>434</v>
      </c>
      <c r="U67">
        <v>321</v>
      </c>
      <c r="V67">
        <v>0</v>
      </c>
      <c r="W67" s="138">
        <v>8566</v>
      </c>
      <c r="X67" s="138">
        <v>5860</v>
      </c>
    </row>
    <row r="68" spans="1:24" x14ac:dyDescent="0.15">
      <c r="A68" s="160" t="s">
        <v>72</v>
      </c>
      <c r="C68">
        <v>0</v>
      </c>
      <c r="D68" s="138">
        <v>15950</v>
      </c>
      <c r="E68" s="138">
        <v>20070</v>
      </c>
      <c r="F68" s="138">
        <v>1928</v>
      </c>
      <c r="G68">
        <v>942</v>
      </c>
      <c r="H68" s="138">
        <v>6676</v>
      </c>
      <c r="I68" s="138"/>
      <c r="J68" s="138">
        <v>2765</v>
      </c>
      <c r="K68" s="138">
        <v>11120</v>
      </c>
      <c r="L68">
        <v>60</v>
      </c>
      <c r="M68">
        <v>0</v>
      </c>
      <c r="N68">
        <v>0</v>
      </c>
      <c r="O68">
        <v>0</v>
      </c>
      <c r="P68">
        <v>0</v>
      </c>
      <c r="Q68" s="138">
        <v>12080</v>
      </c>
      <c r="R68" s="138">
        <v>5356</v>
      </c>
      <c r="S68" s="138">
        <v>1439</v>
      </c>
      <c r="T68" s="138">
        <v>2136</v>
      </c>
      <c r="U68">
        <v>0</v>
      </c>
      <c r="V68" s="138">
        <v>15950</v>
      </c>
      <c r="W68" s="138">
        <v>101166</v>
      </c>
      <c r="X68" s="138">
        <v>59511</v>
      </c>
    </row>
    <row r="69" spans="1:24" x14ac:dyDescent="0.15">
      <c r="A69" t="s">
        <v>71</v>
      </c>
      <c r="C69" s="138">
        <v>15330</v>
      </c>
      <c r="D69">
        <v>0</v>
      </c>
      <c r="E69">
        <v>75</v>
      </c>
      <c r="F69" s="138">
        <v>4722</v>
      </c>
      <c r="G69" s="138">
        <v>4075</v>
      </c>
      <c r="H69">
        <v>0</v>
      </c>
      <c r="J69" s="138">
        <v>1082</v>
      </c>
      <c r="K69" s="138">
        <v>3066</v>
      </c>
      <c r="L69">
        <v>361</v>
      </c>
      <c r="M69">
        <v>542</v>
      </c>
      <c r="N69">
        <v>361</v>
      </c>
      <c r="O69">
        <v>0</v>
      </c>
      <c r="P69">
        <v>722</v>
      </c>
      <c r="Q69" s="138">
        <v>8614</v>
      </c>
      <c r="R69" s="138">
        <v>3853</v>
      </c>
      <c r="S69" s="138">
        <v>1212</v>
      </c>
      <c r="T69" s="138">
        <v>5108</v>
      </c>
      <c r="U69">
        <v>693</v>
      </c>
      <c r="V69">
        <v>0</v>
      </c>
      <c r="W69" s="138">
        <v>55621</v>
      </c>
      <c r="X69" s="138">
        <v>30336</v>
      </c>
    </row>
    <row r="70" spans="1:24" x14ac:dyDescent="0.15">
      <c r="A70" t="s">
        <v>217</v>
      </c>
      <c r="C70">
        <v>0</v>
      </c>
      <c r="D70" s="138">
        <v>22055</v>
      </c>
      <c r="E70">
        <v>0</v>
      </c>
      <c r="F70">
        <v>0</v>
      </c>
      <c r="G70">
        <v>0</v>
      </c>
      <c r="H70">
        <v>0</v>
      </c>
      <c r="J70">
        <v>0</v>
      </c>
      <c r="K70" s="138">
        <v>55000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38">
        <v>22055</v>
      </c>
      <c r="W70" s="138">
        <v>99110</v>
      </c>
      <c r="X70" s="138">
        <v>77055</v>
      </c>
    </row>
    <row r="71" spans="1:24" x14ac:dyDescent="0.15">
      <c r="A71" s="121" t="s">
        <v>221</v>
      </c>
      <c r="C71" s="155">
        <v>72926</v>
      </c>
      <c r="D71" s="155">
        <v>43405</v>
      </c>
      <c r="E71" s="155">
        <v>25145</v>
      </c>
      <c r="F71" s="155">
        <v>21680</v>
      </c>
      <c r="G71" s="155">
        <v>5252</v>
      </c>
      <c r="H71" s="155">
        <v>6756</v>
      </c>
      <c r="I71" s="155"/>
      <c r="J71" s="155">
        <v>15352</v>
      </c>
      <c r="K71" s="155">
        <v>110160</v>
      </c>
      <c r="L71" s="155">
        <v>3883</v>
      </c>
      <c r="M71" s="155">
        <v>6835</v>
      </c>
      <c r="N71" s="155">
        <v>10341</v>
      </c>
      <c r="O71" s="121">
        <v>10</v>
      </c>
      <c r="P71" s="155">
        <v>10158</v>
      </c>
      <c r="Q71" s="155">
        <v>41994</v>
      </c>
      <c r="R71" s="155">
        <v>28717</v>
      </c>
      <c r="S71" s="155">
        <v>4951</v>
      </c>
      <c r="T71" s="155">
        <v>21444</v>
      </c>
      <c r="U71" s="155">
        <v>10596</v>
      </c>
      <c r="V71" s="155">
        <v>38005</v>
      </c>
      <c r="W71" s="155">
        <v>514641</v>
      </c>
      <c r="X71" s="155">
        <v>336202</v>
      </c>
    </row>
    <row r="72" spans="1:24" x14ac:dyDescent="0.15">
      <c r="A72" t="s">
        <v>133</v>
      </c>
      <c r="C72">
        <v>0</v>
      </c>
      <c r="D72" s="138">
        <v>9809</v>
      </c>
      <c r="E72" s="138">
        <v>1154</v>
      </c>
      <c r="F72">
        <v>577</v>
      </c>
      <c r="G72">
        <v>0</v>
      </c>
      <c r="H72">
        <v>0</v>
      </c>
      <c r="J72">
        <v>0</v>
      </c>
      <c r="K72">
        <v>0</v>
      </c>
      <c r="L72">
        <v>60</v>
      </c>
      <c r="M72">
        <v>0</v>
      </c>
      <c r="N72">
        <v>0</v>
      </c>
      <c r="O72">
        <v>0</v>
      </c>
      <c r="P72">
        <v>0</v>
      </c>
      <c r="Q72">
        <v>577</v>
      </c>
      <c r="R72">
        <v>208</v>
      </c>
      <c r="S72">
        <v>92</v>
      </c>
      <c r="T72">
        <v>277</v>
      </c>
      <c r="U72">
        <v>0</v>
      </c>
      <c r="V72" s="138">
        <v>9809</v>
      </c>
      <c r="W72" s="138">
        <v>23140</v>
      </c>
      <c r="X72" s="138">
        <v>11600</v>
      </c>
    </row>
    <row r="73" spans="1:24" x14ac:dyDescent="0.15">
      <c r="A73" t="s">
        <v>263</v>
      </c>
      <c r="C73">
        <v>5000</v>
      </c>
      <c r="D73" s="138">
        <v>0</v>
      </c>
      <c r="E73" s="138">
        <v>5000</v>
      </c>
      <c r="F73">
        <v>1500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3000</v>
      </c>
      <c r="O73">
        <v>0</v>
      </c>
      <c r="P73">
        <v>0</v>
      </c>
      <c r="Q73">
        <v>0</v>
      </c>
      <c r="R73">
        <v>2000</v>
      </c>
      <c r="S73">
        <v>2300</v>
      </c>
      <c r="T73">
        <v>0</v>
      </c>
      <c r="U73">
        <v>0</v>
      </c>
      <c r="V73">
        <v>0</v>
      </c>
      <c r="W73" s="138">
        <v>18800</v>
      </c>
      <c r="X73" s="138">
        <v>13800</v>
      </c>
    </row>
    <row r="74" spans="1:24" x14ac:dyDescent="0.15">
      <c r="A74" t="s">
        <v>264</v>
      </c>
      <c r="C74">
        <v>0</v>
      </c>
      <c r="D74" s="138">
        <f>137+1594+3188+400</f>
        <v>5319</v>
      </c>
      <c r="E74" s="138">
        <f>350+4037+8074+1000</f>
        <v>13461</v>
      </c>
      <c r="F74">
        <v>0</v>
      </c>
      <c r="G74">
        <v>0</v>
      </c>
      <c r="H74">
        <f>170+2000+4000+500</f>
        <v>6670</v>
      </c>
      <c r="J74">
        <f>1000</f>
        <v>1000</v>
      </c>
      <c r="K74">
        <f>2000+9120</f>
        <v>11120</v>
      </c>
      <c r="L74">
        <v>0</v>
      </c>
      <c r="M74">
        <v>0</v>
      </c>
      <c r="N74">
        <v>0</v>
      </c>
      <c r="O74">
        <v>0</v>
      </c>
      <c r="P74">
        <v>0</v>
      </c>
      <c r="Q74">
        <f>180+2543+5087+500</f>
        <v>8310</v>
      </c>
      <c r="R74">
        <f>70+1251+2503+190</f>
        <v>4014</v>
      </c>
      <c r="S74">
        <f>30+242+484+80</f>
        <v>836</v>
      </c>
      <c r="T74">
        <f>80+250</f>
        <v>330</v>
      </c>
      <c r="U74">
        <v>0</v>
      </c>
      <c r="V74" s="138">
        <f>137+1594+3188+400</f>
        <v>5319</v>
      </c>
      <c r="W74" s="138">
        <f>SUM(C74:V74)</f>
        <v>56379</v>
      </c>
      <c r="X74" s="138">
        <f>2000+685+7940+25000+2000</f>
        <v>37625</v>
      </c>
    </row>
    <row r="75" spans="1:24" x14ac:dyDescent="0.15">
      <c r="A75" t="s">
        <v>267</v>
      </c>
      <c r="C75">
        <f>4800+960</f>
        <v>5760</v>
      </c>
      <c r="D75" s="138"/>
      <c r="E75" s="138"/>
      <c r="F75">
        <v>120</v>
      </c>
      <c r="N75">
        <v>120</v>
      </c>
      <c r="R75">
        <f>960+4800</f>
        <v>5760</v>
      </c>
      <c r="V75" s="138"/>
      <c r="W75" s="138">
        <f>1960+9800</f>
        <v>11760</v>
      </c>
      <c r="X75" s="138">
        <v>6000</v>
      </c>
    </row>
    <row r="76" spans="1:24" x14ac:dyDescent="0.15">
      <c r="A76" t="s">
        <v>269</v>
      </c>
      <c r="C76">
        <f>387+387+2138</f>
        <v>2912</v>
      </c>
      <c r="D76" s="138"/>
      <c r="E76" s="138"/>
      <c r="F76">
        <f>65+65+356</f>
        <v>486</v>
      </c>
      <c r="J76">
        <f>97*2+534</f>
        <v>728</v>
      </c>
      <c r="K76">
        <f>274*2+1514</f>
        <v>2062</v>
      </c>
      <c r="L76">
        <f>32*2+178</f>
        <v>242</v>
      </c>
      <c r="M76">
        <f>48*2+267</f>
        <v>363</v>
      </c>
      <c r="N76">
        <f>32*2+178</f>
        <v>242</v>
      </c>
      <c r="Q76">
        <f>93*2+513</f>
        <v>699</v>
      </c>
      <c r="R76">
        <f>101*2+556</f>
        <v>758</v>
      </c>
      <c r="T76">
        <f>132*2+727</f>
        <v>991</v>
      </c>
      <c r="U76">
        <f>62*2+342</f>
        <v>466</v>
      </c>
      <c r="V76" s="138"/>
      <c r="W76" s="138">
        <f>1387*2+7661</f>
        <v>10435</v>
      </c>
      <c r="X76" s="138">
        <f>1000*2+5523</f>
        <v>7523</v>
      </c>
    </row>
    <row r="77" spans="1:24" x14ac:dyDescent="0.15">
      <c r="A77" t="s">
        <v>270</v>
      </c>
      <c r="C77">
        <f>194+1224</f>
        <v>1418</v>
      </c>
      <c r="F77">
        <f>32+204</f>
        <v>236</v>
      </c>
      <c r="J77">
        <f>48+306</f>
        <v>354</v>
      </c>
      <c r="K77">
        <f>137+867</f>
        <v>1004</v>
      </c>
      <c r="L77">
        <f>16+102</f>
        <v>118</v>
      </c>
      <c r="M77">
        <f>24+153</f>
        <v>177</v>
      </c>
      <c r="N77">
        <f>16+102</f>
        <v>118</v>
      </c>
      <c r="P77">
        <f>32+204</f>
        <v>236</v>
      </c>
      <c r="Q77">
        <f>46+294</f>
        <v>340</v>
      </c>
      <c r="R77">
        <f>50+318</f>
        <v>368</v>
      </c>
      <c r="T77">
        <f>66+416</f>
        <v>482</v>
      </c>
      <c r="U77">
        <f>31+196</f>
        <v>227</v>
      </c>
      <c r="W77">
        <f>694+4387</f>
        <v>5081</v>
      </c>
      <c r="X77">
        <f>500+3163</f>
        <v>3663</v>
      </c>
    </row>
    <row r="78" spans="1:24" x14ac:dyDescent="0.15">
      <c r="D78" s="138"/>
      <c r="E78" s="138"/>
      <c r="V78" s="138"/>
      <c r="W78" s="138"/>
      <c r="X78" s="138"/>
    </row>
    <row r="79" spans="1:24" x14ac:dyDescent="0.15">
      <c r="D79" s="138"/>
      <c r="E79" s="138"/>
      <c r="V79" s="138"/>
      <c r="W79" s="138"/>
      <c r="X79" s="138"/>
    </row>
    <row r="81" spans="1:54" x14ac:dyDescent="0.15">
      <c r="A81" s="121" t="s">
        <v>237</v>
      </c>
    </row>
    <row r="82" spans="1:54" ht="12" thickBot="1" x14ac:dyDescent="0.2">
      <c r="C82" s="64" t="s">
        <v>100</v>
      </c>
      <c r="D82" s="64" t="s">
        <v>105</v>
      </c>
      <c r="E82" s="65" t="s">
        <v>181</v>
      </c>
      <c r="F82" s="64" t="s">
        <v>101</v>
      </c>
      <c r="G82" s="65" t="s">
        <v>155</v>
      </c>
      <c r="H82" s="65" t="s">
        <v>156</v>
      </c>
      <c r="I82" s="65" t="s">
        <v>229</v>
      </c>
      <c r="J82" s="65" t="s">
        <v>153</v>
      </c>
      <c r="K82" s="64" t="s">
        <v>102</v>
      </c>
      <c r="L82" s="64" t="s">
        <v>104</v>
      </c>
      <c r="M82" s="64" t="s">
        <v>99</v>
      </c>
      <c r="N82" s="65" t="s">
        <v>103</v>
      </c>
      <c r="O82" s="65" t="s">
        <v>154</v>
      </c>
      <c r="P82" s="140" t="s">
        <v>157</v>
      </c>
      <c r="Q82" s="140" t="s">
        <v>182</v>
      </c>
      <c r="R82" s="140" t="s">
        <v>184</v>
      </c>
      <c r="T82" s="8" t="s">
        <v>238</v>
      </c>
      <c r="U82" s="8" t="s">
        <v>232</v>
      </c>
      <c r="V82" t="s">
        <v>230</v>
      </c>
      <c r="W82" t="s">
        <v>231</v>
      </c>
      <c r="X82" t="s">
        <v>228</v>
      </c>
      <c r="Y82" t="s">
        <v>236</v>
      </c>
      <c r="Z82" t="s">
        <v>222</v>
      </c>
      <c r="AA82" t="s">
        <v>223</v>
      </c>
      <c r="AB82" t="s">
        <v>224</v>
      </c>
      <c r="AC82" t="s">
        <v>229</v>
      </c>
      <c r="AD82" t="s">
        <v>225</v>
      </c>
      <c r="AE82" t="s">
        <v>226</v>
      </c>
      <c r="AF82" t="s">
        <v>227</v>
      </c>
      <c r="AH82" s="151" t="s">
        <v>240</v>
      </c>
      <c r="AI82" s="149"/>
      <c r="AJ82" s="150" t="s">
        <v>100</v>
      </c>
      <c r="AK82" s="150" t="s">
        <v>105</v>
      </c>
      <c r="AL82" s="150" t="s">
        <v>181</v>
      </c>
      <c r="AM82" s="150" t="s">
        <v>101</v>
      </c>
      <c r="AN82" s="150" t="s">
        <v>155</v>
      </c>
      <c r="AO82" s="150" t="s">
        <v>156</v>
      </c>
      <c r="AP82" s="150" t="s">
        <v>229</v>
      </c>
      <c r="AQ82" s="150" t="s">
        <v>153</v>
      </c>
      <c r="AR82" s="150" t="s">
        <v>102</v>
      </c>
      <c r="AS82" s="150" t="s">
        <v>104</v>
      </c>
      <c r="AT82" s="150" t="s">
        <v>99</v>
      </c>
      <c r="AU82" s="150" t="s">
        <v>103</v>
      </c>
      <c r="AV82" s="150" t="s">
        <v>154</v>
      </c>
      <c r="AW82" s="150" t="s">
        <v>157</v>
      </c>
      <c r="AX82" s="150" t="s">
        <v>182</v>
      </c>
      <c r="AY82" s="150" t="s">
        <v>184</v>
      </c>
      <c r="BA82" s="157" t="s">
        <v>221</v>
      </c>
      <c r="BB82" s="156" t="s">
        <v>210</v>
      </c>
    </row>
    <row r="83" spans="1:54" x14ac:dyDescent="0.15">
      <c r="B83" t="s">
        <v>93</v>
      </c>
      <c r="C83" s="138">
        <f t="shared" ref="C83:G88" si="52">C58</f>
        <v>2455</v>
      </c>
      <c r="D83" s="138">
        <f t="shared" si="52"/>
        <v>0</v>
      </c>
      <c r="E83" s="138">
        <f t="shared" si="52"/>
        <v>0</v>
      </c>
      <c r="F83" s="138">
        <f t="shared" si="52"/>
        <v>1145</v>
      </c>
      <c r="G83" s="138">
        <f t="shared" si="52"/>
        <v>0</v>
      </c>
      <c r="H83">
        <f>AA83+AB83</f>
        <v>0</v>
      </c>
      <c r="I83" s="138">
        <f>AC83</f>
        <v>859</v>
      </c>
      <c r="J83">
        <f t="shared" ref="J83:J94" si="53">AE83+AD83</f>
        <v>409</v>
      </c>
      <c r="K83">
        <f t="shared" ref="K83:K88" si="54">K58</f>
        <v>0</v>
      </c>
      <c r="L83">
        <f t="shared" ref="L83:L88" si="55">V58</f>
        <v>0</v>
      </c>
      <c r="M83" s="138">
        <f t="shared" ref="M83:O88" si="56">Q58</f>
        <v>1596</v>
      </c>
      <c r="N83">
        <f t="shared" si="56"/>
        <v>0</v>
      </c>
      <c r="O83">
        <f t="shared" si="56"/>
        <v>0</v>
      </c>
      <c r="P83" s="114">
        <f>$T83/3</f>
        <v>763.66666666666663</v>
      </c>
      <c r="Q83" s="114">
        <f>$T83/3</f>
        <v>763.66666666666663</v>
      </c>
      <c r="R83" s="114">
        <f>$T83/3</f>
        <v>763.66666666666663</v>
      </c>
      <c r="T83">
        <f t="shared" ref="T83:T89" si="57">X83+Y83+Z83+AF83</f>
        <v>2291</v>
      </c>
      <c r="U83" s="138">
        <f t="shared" ref="U83:U102" si="58">SUM(C83:R83)</f>
        <v>8755</v>
      </c>
      <c r="V83" s="138">
        <f t="shared" ref="V83:W88" si="59">W58</f>
        <v>10719</v>
      </c>
      <c r="W83" s="138">
        <f t="shared" si="59"/>
        <v>6300</v>
      </c>
      <c r="X83">
        <f t="shared" ref="X83:X88" si="60">T58</f>
        <v>0</v>
      </c>
      <c r="Y83">
        <f t="shared" ref="Y83:Y88" si="61">H58</f>
        <v>0</v>
      </c>
      <c r="Z83">
        <f t="shared" ref="Z83:Z88" si="62">J58</f>
        <v>819</v>
      </c>
      <c r="AA83">
        <f t="shared" ref="AA83:AB88" si="63">L58</f>
        <v>0</v>
      </c>
      <c r="AB83">
        <f t="shared" si="63"/>
        <v>0</v>
      </c>
      <c r="AC83">
        <f t="shared" ref="AC83:AC88" si="64">U58</f>
        <v>859</v>
      </c>
      <c r="AD83">
        <f t="shared" ref="AD83:AF88" si="65">N58</f>
        <v>409</v>
      </c>
      <c r="AE83">
        <f t="shared" si="65"/>
        <v>0</v>
      </c>
      <c r="AF83" s="138">
        <f t="shared" si="65"/>
        <v>1472</v>
      </c>
      <c r="AH83" s="149"/>
      <c r="AI83" s="149" t="s">
        <v>93</v>
      </c>
      <c r="AJ83" s="149">
        <f>(C83+C28)/10^6</f>
        <v>2.591E-3</v>
      </c>
      <c r="AK83" s="149">
        <f t="shared" ref="AK83:AK96" si="66">(D83+D28)/10^6</f>
        <v>0</v>
      </c>
      <c r="AL83" s="149">
        <f t="shared" ref="AL83:AL96" si="67">(E83+E28)/10^6</f>
        <v>0</v>
      </c>
      <c r="AM83" s="149">
        <f t="shared" ref="AM83:AM96" si="68">(F83+F28)/10^6</f>
        <v>1.209E-3</v>
      </c>
      <c r="AN83" s="149">
        <f t="shared" ref="AN83:AN96" si="69">(G83+G28)/10^6</f>
        <v>0</v>
      </c>
      <c r="AO83" s="149">
        <f>(H83+H28)/10^6</f>
        <v>0</v>
      </c>
      <c r="AP83" s="149">
        <f>(I83+I28)/10^6</f>
        <v>9.0700000000000004E-4</v>
      </c>
      <c r="AQ83" s="149">
        <f>(J83+J28)/10^6</f>
        <v>4.3199999999999998E-4</v>
      </c>
      <c r="AR83" s="149">
        <f t="shared" ref="AR83:AR96" si="70">(K83+K28)/10^6</f>
        <v>0</v>
      </c>
      <c r="AS83" s="149">
        <f t="shared" ref="AS83:AS96" si="71">(L83+L28)/10^6</f>
        <v>0</v>
      </c>
      <c r="AT83" s="149">
        <f t="shared" ref="AT83:AT96" si="72">(M83+M28)/10^6</f>
        <v>1.684E-3</v>
      </c>
      <c r="AU83" s="149">
        <f t="shared" ref="AU83:AU96" si="73">(N83+N28)/10^6</f>
        <v>0</v>
      </c>
      <c r="AV83" s="149">
        <f t="shared" ref="AV83:AV96" si="74">(O83+O28)/10^6</f>
        <v>0</v>
      </c>
      <c r="AW83" s="149">
        <f t="shared" ref="AW83:AW96" si="75">(P83+P28)/10^6</f>
        <v>8.0599999999999997E-4</v>
      </c>
      <c r="AX83" s="149">
        <f t="shared" ref="AX83:AX96" si="76">(Q83+Q28)/10^6</f>
        <v>8.0599999999999997E-4</v>
      </c>
      <c r="AY83" s="149">
        <f t="shared" ref="AY83:AY96" si="77">(R83+R28)/10^6</f>
        <v>8.0599999999999997E-4</v>
      </c>
      <c r="BA83" s="149" t="s">
        <v>93</v>
      </c>
      <c r="BB83" s="149">
        <f>(W83+W28)/10^6</f>
        <v>6.6499999999999997E-3</v>
      </c>
    </row>
    <row r="84" spans="1:54" x14ac:dyDescent="0.15">
      <c r="B84" t="s">
        <v>92</v>
      </c>
      <c r="C84" s="138">
        <f t="shared" si="52"/>
        <v>0</v>
      </c>
      <c r="D84" s="138">
        <f t="shared" si="52"/>
        <v>0</v>
      </c>
      <c r="E84" s="138">
        <f t="shared" si="52"/>
        <v>0</v>
      </c>
      <c r="F84" s="138">
        <f t="shared" si="52"/>
        <v>0</v>
      </c>
      <c r="G84" s="138">
        <f t="shared" si="52"/>
        <v>0</v>
      </c>
      <c r="H84">
        <f t="shared" ref="H84:H101" si="78">AA84+AB84</f>
        <v>0</v>
      </c>
      <c r="I84" s="138">
        <f t="shared" ref="I84:I101" si="79">AC84</f>
        <v>0</v>
      </c>
      <c r="J84">
        <f t="shared" si="53"/>
        <v>0</v>
      </c>
      <c r="K84">
        <f t="shared" si="54"/>
        <v>5000</v>
      </c>
      <c r="L84">
        <f t="shared" si="55"/>
        <v>0</v>
      </c>
      <c r="M84" s="138">
        <f t="shared" si="56"/>
        <v>0</v>
      </c>
      <c r="N84">
        <f t="shared" si="56"/>
        <v>0</v>
      </c>
      <c r="O84">
        <f t="shared" si="56"/>
        <v>0</v>
      </c>
      <c r="P84" s="114">
        <f t="shared" ref="P84:R96" si="80">$T84/3</f>
        <v>0</v>
      </c>
      <c r="Q84" s="114">
        <f t="shared" si="80"/>
        <v>0</v>
      </c>
      <c r="R84" s="114">
        <f t="shared" si="80"/>
        <v>0</v>
      </c>
      <c r="T84">
        <f t="shared" si="57"/>
        <v>0</v>
      </c>
      <c r="U84">
        <f t="shared" si="58"/>
        <v>5000</v>
      </c>
      <c r="V84" s="138">
        <f t="shared" si="59"/>
        <v>5000</v>
      </c>
      <c r="W84" s="138">
        <f t="shared" si="59"/>
        <v>5000</v>
      </c>
      <c r="X84">
        <f t="shared" si="60"/>
        <v>0</v>
      </c>
      <c r="Y84">
        <f t="shared" si="61"/>
        <v>0</v>
      </c>
      <c r="Z84">
        <f t="shared" si="62"/>
        <v>0</v>
      </c>
      <c r="AA84">
        <f t="shared" si="63"/>
        <v>0</v>
      </c>
      <c r="AB84">
        <f t="shared" si="63"/>
        <v>0</v>
      </c>
      <c r="AC84">
        <f t="shared" si="64"/>
        <v>0</v>
      </c>
      <c r="AD84">
        <f t="shared" si="65"/>
        <v>0</v>
      </c>
      <c r="AE84">
        <f t="shared" si="65"/>
        <v>0</v>
      </c>
      <c r="AF84" s="138">
        <f t="shared" si="65"/>
        <v>0</v>
      </c>
      <c r="AH84" s="149"/>
      <c r="AI84" s="149" t="s">
        <v>92</v>
      </c>
      <c r="AJ84" s="149">
        <f t="shared" ref="AJ84:AJ96" si="81">(C84+C29)/10^6</f>
        <v>0</v>
      </c>
      <c r="AK84" s="149">
        <f t="shared" si="66"/>
        <v>1E-3</v>
      </c>
      <c r="AL84" s="149">
        <f t="shared" si="67"/>
        <v>0</v>
      </c>
      <c r="AM84" s="149">
        <f t="shared" si="68"/>
        <v>7.5000000000000002E-4</v>
      </c>
      <c r="AN84" s="149">
        <f t="shared" si="69"/>
        <v>0</v>
      </c>
      <c r="AO84" s="149">
        <f t="shared" ref="AO84:AP96" si="82">(H84+H29)/10^6</f>
        <v>0</v>
      </c>
      <c r="AP84" s="149">
        <f t="shared" si="82"/>
        <v>0</v>
      </c>
      <c r="AQ84" s="149">
        <f t="shared" ref="AQ84:AQ96" si="83">(J84+J29)/10^6</f>
        <v>7.5000000000000002E-4</v>
      </c>
      <c r="AR84" s="149">
        <f t="shared" si="70"/>
        <v>5.0000000000000001E-3</v>
      </c>
      <c r="AS84" s="149">
        <f t="shared" si="71"/>
        <v>0</v>
      </c>
      <c r="AT84" s="149">
        <f t="shared" si="72"/>
        <v>0</v>
      </c>
      <c r="AU84" s="149">
        <f t="shared" si="73"/>
        <v>0</v>
      </c>
      <c r="AV84" s="149">
        <f t="shared" si="74"/>
        <v>0</v>
      </c>
      <c r="AW84" s="149">
        <f t="shared" si="75"/>
        <v>0</v>
      </c>
      <c r="AX84" s="149">
        <f t="shared" si="76"/>
        <v>0</v>
      </c>
      <c r="AY84" s="149">
        <f t="shared" si="77"/>
        <v>0</v>
      </c>
      <c r="BA84" s="149" t="s">
        <v>92</v>
      </c>
      <c r="BB84" s="149">
        <f t="shared" ref="BB84:BB96" si="84">(W84+W29)/10^6</f>
        <v>7.4999999999999997E-3</v>
      </c>
    </row>
    <row r="85" spans="1:54" x14ac:dyDescent="0.15">
      <c r="B85" t="s">
        <v>91</v>
      </c>
      <c r="C85" s="138">
        <f t="shared" si="52"/>
        <v>0</v>
      </c>
      <c r="D85" s="138">
        <f t="shared" si="52"/>
        <v>250</v>
      </c>
      <c r="E85" s="138">
        <f t="shared" si="52"/>
        <v>0</v>
      </c>
      <c r="F85" s="138">
        <f t="shared" si="52"/>
        <v>125</v>
      </c>
      <c r="G85" s="138">
        <f t="shared" si="52"/>
        <v>0</v>
      </c>
      <c r="H85">
        <f t="shared" si="78"/>
        <v>0</v>
      </c>
      <c r="I85" s="138">
        <f t="shared" si="79"/>
        <v>0</v>
      </c>
      <c r="J85">
        <f t="shared" si="53"/>
        <v>125</v>
      </c>
      <c r="K85">
        <f t="shared" si="54"/>
        <v>0</v>
      </c>
      <c r="L85">
        <f t="shared" si="55"/>
        <v>0</v>
      </c>
      <c r="M85" s="138">
        <f t="shared" si="56"/>
        <v>0</v>
      </c>
      <c r="N85">
        <f t="shared" si="56"/>
        <v>0</v>
      </c>
      <c r="O85">
        <f t="shared" si="56"/>
        <v>0</v>
      </c>
      <c r="P85" s="114">
        <f t="shared" si="80"/>
        <v>0</v>
      </c>
      <c r="Q85" s="114">
        <f t="shared" si="80"/>
        <v>0</v>
      </c>
      <c r="R85" s="114">
        <f t="shared" si="80"/>
        <v>0</v>
      </c>
      <c r="T85">
        <f t="shared" si="57"/>
        <v>0</v>
      </c>
      <c r="U85">
        <f t="shared" si="58"/>
        <v>500</v>
      </c>
      <c r="V85" s="138">
        <f t="shared" si="59"/>
        <v>625</v>
      </c>
      <c r="W85" s="138">
        <f t="shared" si="59"/>
        <v>500</v>
      </c>
      <c r="X85">
        <f t="shared" si="60"/>
        <v>0</v>
      </c>
      <c r="Y85">
        <f t="shared" si="61"/>
        <v>0</v>
      </c>
      <c r="Z85">
        <f t="shared" si="62"/>
        <v>0</v>
      </c>
      <c r="AA85">
        <f t="shared" si="63"/>
        <v>0</v>
      </c>
      <c r="AB85">
        <f t="shared" si="63"/>
        <v>0</v>
      </c>
      <c r="AC85">
        <f t="shared" si="64"/>
        <v>0</v>
      </c>
      <c r="AD85">
        <f t="shared" si="65"/>
        <v>125</v>
      </c>
      <c r="AE85">
        <f t="shared" si="65"/>
        <v>0</v>
      </c>
      <c r="AF85" s="138">
        <f t="shared" si="65"/>
        <v>0</v>
      </c>
      <c r="AH85" s="149"/>
      <c r="AI85" s="149" t="s">
        <v>91</v>
      </c>
      <c r="AJ85" s="149">
        <f t="shared" si="81"/>
        <v>0</v>
      </c>
      <c r="AK85" s="149">
        <f t="shared" si="66"/>
        <v>7.5000000000000002E-4</v>
      </c>
      <c r="AL85" s="149">
        <f t="shared" si="67"/>
        <v>0</v>
      </c>
      <c r="AM85" s="149">
        <f t="shared" si="68"/>
        <v>3.7500000000000001E-4</v>
      </c>
      <c r="AN85" s="149">
        <f t="shared" si="69"/>
        <v>0</v>
      </c>
      <c r="AO85" s="149">
        <f t="shared" si="82"/>
        <v>0</v>
      </c>
      <c r="AP85" s="149">
        <f t="shared" si="82"/>
        <v>0</v>
      </c>
      <c r="AQ85" s="149">
        <f t="shared" si="83"/>
        <v>3.7500000000000001E-4</v>
      </c>
      <c r="AR85" s="149">
        <f t="shared" si="70"/>
        <v>0</v>
      </c>
      <c r="AS85" s="149">
        <f t="shared" si="71"/>
        <v>0</v>
      </c>
      <c r="AT85" s="149">
        <f t="shared" si="72"/>
        <v>0</v>
      </c>
      <c r="AU85" s="149">
        <f t="shared" si="73"/>
        <v>0</v>
      </c>
      <c r="AV85" s="149">
        <f t="shared" si="74"/>
        <v>0</v>
      </c>
      <c r="AW85" s="149">
        <f t="shared" si="75"/>
        <v>0</v>
      </c>
      <c r="AX85" s="149">
        <f t="shared" si="76"/>
        <v>0</v>
      </c>
      <c r="AY85" s="149">
        <f t="shared" si="77"/>
        <v>0</v>
      </c>
      <c r="BA85" s="149" t="s">
        <v>91</v>
      </c>
      <c r="BB85" s="149">
        <f t="shared" si="84"/>
        <v>1.5E-3</v>
      </c>
    </row>
    <row r="86" spans="1:54" x14ac:dyDescent="0.15">
      <c r="B86" t="s">
        <v>90</v>
      </c>
      <c r="C86" s="138">
        <f t="shared" si="52"/>
        <v>0</v>
      </c>
      <c r="D86" s="138">
        <f t="shared" si="52"/>
        <v>5000</v>
      </c>
      <c r="E86" s="138">
        <f t="shared" si="52"/>
        <v>0</v>
      </c>
      <c r="F86" s="138">
        <f t="shared" si="52"/>
        <v>0</v>
      </c>
      <c r="G86" s="138">
        <f t="shared" si="52"/>
        <v>0</v>
      </c>
      <c r="H86">
        <f t="shared" si="78"/>
        <v>0</v>
      </c>
      <c r="I86" s="138">
        <f t="shared" si="79"/>
        <v>0</v>
      </c>
      <c r="J86">
        <f t="shared" si="53"/>
        <v>0</v>
      </c>
      <c r="K86">
        <f t="shared" si="54"/>
        <v>0</v>
      </c>
      <c r="L86">
        <f t="shared" si="55"/>
        <v>0</v>
      </c>
      <c r="M86" s="138">
        <f t="shared" si="56"/>
        <v>0</v>
      </c>
      <c r="N86">
        <f t="shared" si="56"/>
        <v>0</v>
      </c>
      <c r="O86">
        <f t="shared" si="56"/>
        <v>0</v>
      </c>
      <c r="P86" s="114">
        <f t="shared" si="80"/>
        <v>0</v>
      </c>
      <c r="Q86" s="114">
        <f t="shared" si="80"/>
        <v>0</v>
      </c>
      <c r="R86" s="114">
        <f t="shared" si="80"/>
        <v>0</v>
      </c>
      <c r="T86">
        <f t="shared" si="57"/>
        <v>0</v>
      </c>
      <c r="U86">
        <f t="shared" si="58"/>
        <v>5000</v>
      </c>
      <c r="V86" s="138">
        <f t="shared" si="59"/>
        <v>5000</v>
      </c>
      <c r="W86" s="138">
        <f t="shared" si="59"/>
        <v>5000</v>
      </c>
      <c r="X86">
        <f t="shared" si="60"/>
        <v>0</v>
      </c>
      <c r="Y86">
        <f t="shared" si="61"/>
        <v>0</v>
      </c>
      <c r="Z86">
        <f t="shared" si="62"/>
        <v>0</v>
      </c>
      <c r="AA86">
        <f t="shared" si="63"/>
        <v>0</v>
      </c>
      <c r="AB86">
        <f t="shared" si="63"/>
        <v>0</v>
      </c>
      <c r="AC86">
        <f t="shared" si="64"/>
        <v>0</v>
      </c>
      <c r="AD86">
        <f t="shared" si="65"/>
        <v>0</v>
      </c>
      <c r="AE86">
        <f t="shared" si="65"/>
        <v>0</v>
      </c>
      <c r="AF86" s="138">
        <f t="shared" si="65"/>
        <v>0</v>
      </c>
      <c r="AH86" s="149"/>
      <c r="AI86" s="149" t="s">
        <v>90</v>
      </c>
      <c r="AJ86" s="149">
        <f t="shared" si="81"/>
        <v>0</v>
      </c>
      <c r="AK86" s="149">
        <f t="shared" si="66"/>
        <v>5.2500000000000003E-3</v>
      </c>
      <c r="AL86" s="149">
        <f t="shared" si="67"/>
        <v>0</v>
      </c>
      <c r="AM86" s="149">
        <f t="shared" si="68"/>
        <v>2.5000000000000001E-4</v>
      </c>
      <c r="AN86" s="149">
        <f t="shared" si="69"/>
        <v>0</v>
      </c>
      <c r="AO86" s="149">
        <f t="shared" si="82"/>
        <v>0</v>
      </c>
      <c r="AP86" s="149">
        <f t="shared" si="82"/>
        <v>0</v>
      </c>
      <c r="AQ86" s="149">
        <f t="shared" si="83"/>
        <v>2.5000000000000001E-4</v>
      </c>
      <c r="AR86" s="149">
        <f t="shared" si="70"/>
        <v>0</v>
      </c>
      <c r="AS86" s="149">
        <f t="shared" si="71"/>
        <v>0</v>
      </c>
      <c r="AT86" s="149">
        <f t="shared" si="72"/>
        <v>0</v>
      </c>
      <c r="AU86" s="149">
        <f t="shared" si="73"/>
        <v>0</v>
      </c>
      <c r="AV86" s="149">
        <f t="shared" si="74"/>
        <v>0</v>
      </c>
      <c r="AW86" s="149">
        <f t="shared" si="75"/>
        <v>0</v>
      </c>
      <c r="AX86" s="149">
        <f t="shared" si="76"/>
        <v>0</v>
      </c>
      <c r="AY86" s="149">
        <f t="shared" si="77"/>
        <v>0</v>
      </c>
      <c r="BA86" s="149" t="s">
        <v>90</v>
      </c>
      <c r="BB86" s="149">
        <f t="shared" si="84"/>
        <v>5.7499999999999999E-3</v>
      </c>
    </row>
    <row r="87" spans="1:54" x14ac:dyDescent="0.15">
      <c r="B87" t="s">
        <v>89</v>
      </c>
      <c r="C87" s="138">
        <f t="shared" si="52"/>
        <v>1603</v>
      </c>
      <c r="D87" s="138">
        <f t="shared" si="52"/>
        <v>0</v>
      </c>
      <c r="E87" s="138">
        <f t="shared" si="52"/>
        <v>0</v>
      </c>
      <c r="F87" s="138">
        <f t="shared" si="52"/>
        <v>3801</v>
      </c>
      <c r="G87" s="138">
        <f t="shared" si="52"/>
        <v>0</v>
      </c>
      <c r="H87">
        <f t="shared" si="78"/>
        <v>0</v>
      </c>
      <c r="I87" s="138">
        <f t="shared" si="79"/>
        <v>561</v>
      </c>
      <c r="J87">
        <f t="shared" si="53"/>
        <v>1601</v>
      </c>
      <c r="K87">
        <f t="shared" si="54"/>
        <v>0</v>
      </c>
      <c r="L87">
        <f t="shared" si="55"/>
        <v>0</v>
      </c>
      <c r="M87" s="138">
        <f t="shared" si="56"/>
        <v>1042</v>
      </c>
      <c r="N87">
        <f t="shared" si="56"/>
        <v>0</v>
      </c>
      <c r="O87">
        <f t="shared" si="56"/>
        <v>0</v>
      </c>
      <c r="P87" s="114">
        <f t="shared" si="80"/>
        <v>1</v>
      </c>
      <c r="Q87" s="114">
        <f t="shared" si="80"/>
        <v>1</v>
      </c>
      <c r="R87" s="114">
        <f t="shared" si="80"/>
        <v>1</v>
      </c>
      <c r="T87">
        <f t="shared" si="57"/>
        <v>3</v>
      </c>
      <c r="U87">
        <f t="shared" si="58"/>
        <v>8611</v>
      </c>
      <c r="V87" s="138">
        <f t="shared" si="59"/>
        <v>12413</v>
      </c>
      <c r="W87" s="138">
        <f t="shared" si="59"/>
        <v>7008</v>
      </c>
      <c r="X87">
        <f t="shared" si="60"/>
        <v>0</v>
      </c>
      <c r="Y87">
        <f t="shared" si="61"/>
        <v>0</v>
      </c>
      <c r="Z87">
        <f t="shared" si="62"/>
        <v>1</v>
      </c>
      <c r="AA87">
        <f t="shared" si="63"/>
        <v>0</v>
      </c>
      <c r="AB87">
        <f t="shared" si="63"/>
        <v>0</v>
      </c>
      <c r="AC87">
        <f t="shared" si="64"/>
        <v>561</v>
      </c>
      <c r="AD87">
        <f t="shared" si="65"/>
        <v>1601</v>
      </c>
      <c r="AE87">
        <f t="shared" si="65"/>
        <v>0</v>
      </c>
      <c r="AF87" s="138">
        <f t="shared" si="65"/>
        <v>2</v>
      </c>
      <c r="AH87" s="149"/>
      <c r="AI87" s="149" t="s">
        <v>89</v>
      </c>
      <c r="AJ87" s="149">
        <f t="shared" si="81"/>
        <v>1.681E-3</v>
      </c>
      <c r="AK87" s="149">
        <f t="shared" si="66"/>
        <v>0</v>
      </c>
      <c r="AL87" s="149">
        <f t="shared" si="67"/>
        <v>0</v>
      </c>
      <c r="AM87" s="149">
        <f t="shared" si="68"/>
        <v>3.8370000000000001E-3</v>
      </c>
      <c r="AN87" s="149">
        <f t="shared" si="69"/>
        <v>0</v>
      </c>
      <c r="AO87" s="149">
        <f t="shared" si="82"/>
        <v>0</v>
      </c>
      <c r="AP87" s="149">
        <f t="shared" si="82"/>
        <v>5.8799999999999998E-4</v>
      </c>
      <c r="AQ87" s="149">
        <f t="shared" si="83"/>
        <v>1.614E-3</v>
      </c>
      <c r="AR87" s="149">
        <f t="shared" si="70"/>
        <v>0</v>
      </c>
      <c r="AS87" s="149">
        <f t="shared" si="71"/>
        <v>0</v>
      </c>
      <c r="AT87" s="149">
        <f t="shared" si="72"/>
        <v>1.093E-3</v>
      </c>
      <c r="AU87" s="149">
        <f t="shared" si="73"/>
        <v>0</v>
      </c>
      <c r="AV87" s="149">
        <f t="shared" si="74"/>
        <v>0</v>
      </c>
      <c r="AW87" s="149">
        <f t="shared" si="75"/>
        <v>2.5333333333333334E-5</v>
      </c>
      <c r="AX87" s="149">
        <f t="shared" si="76"/>
        <v>2.5333333333333334E-5</v>
      </c>
      <c r="AY87" s="149">
        <f t="shared" si="77"/>
        <v>2.5333333333333334E-5</v>
      </c>
      <c r="BA87" s="149" t="s">
        <v>89</v>
      </c>
      <c r="BB87" s="149">
        <f t="shared" si="84"/>
        <v>7.208E-3</v>
      </c>
    </row>
    <row r="88" spans="1:54" x14ac:dyDescent="0.15">
      <c r="B88" t="s">
        <v>88</v>
      </c>
      <c r="C88" s="138">
        <f t="shared" si="52"/>
        <v>0</v>
      </c>
      <c r="D88" s="138">
        <f t="shared" si="52"/>
        <v>150</v>
      </c>
      <c r="E88" s="138">
        <f t="shared" si="52"/>
        <v>0</v>
      </c>
      <c r="F88" s="138">
        <f t="shared" si="52"/>
        <v>150</v>
      </c>
      <c r="G88" s="138">
        <f t="shared" si="52"/>
        <v>0</v>
      </c>
      <c r="H88">
        <f t="shared" si="78"/>
        <v>0</v>
      </c>
      <c r="I88" s="138">
        <f t="shared" si="79"/>
        <v>0</v>
      </c>
      <c r="J88">
        <f t="shared" si="53"/>
        <v>0</v>
      </c>
      <c r="K88">
        <f t="shared" si="54"/>
        <v>0</v>
      </c>
      <c r="L88">
        <f t="shared" si="55"/>
        <v>0</v>
      </c>
      <c r="M88" s="138">
        <f t="shared" si="56"/>
        <v>0</v>
      </c>
      <c r="N88">
        <f t="shared" si="56"/>
        <v>0</v>
      </c>
      <c r="O88">
        <f t="shared" si="56"/>
        <v>0</v>
      </c>
      <c r="P88" s="114">
        <f t="shared" si="80"/>
        <v>0</v>
      </c>
      <c r="Q88" s="114">
        <f t="shared" si="80"/>
        <v>0</v>
      </c>
      <c r="R88" s="114">
        <f t="shared" si="80"/>
        <v>0</v>
      </c>
      <c r="T88">
        <f t="shared" si="57"/>
        <v>0</v>
      </c>
      <c r="U88">
        <f t="shared" si="58"/>
        <v>300</v>
      </c>
      <c r="V88" s="138">
        <f t="shared" si="59"/>
        <v>450</v>
      </c>
      <c r="W88" s="138">
        <f t="shared" si="59"/>
        <v>300</v>
      </c>
      <c r="X88">
        <f t="shared" si="60"/>
        <v>0</v>
      </c>
      <c r="Y88">
        <f t="shared" si="61"/>
        <v>0</v>
      </c>
      <c r="Z88">
        <f t="shared" si="62"/>
        <v>0</v>
      </c>
      <c r="AA88">
        <f t="shared" si="63"/>
        <v>0</v>
      </c>
      <c r="AB88">
        <f t="shared" si="63"/>
        <v>0</v>
      </c>
      <c r="AC88">
        <f t="shared" si="64"/>
        <v>0</v>
      </c>
      <c r="AD88">
        <f t="shared" si="65"/>
        <v>0</v>
      </c>
      <c r="AE88">
        <f t="shared" si="65"/>
        <v>0</v>
      </c>
      <c r="AF88" s="138">
        <f t="shared" si="65"/>
        <v>0</v>
      </c>
      <c r="AH88" s="149"/>
      <c r="AI88" s="149" t="s">
        <v>88</v>
      </c>
      <c r="AJ88" s="149">
        <f t="shared" si="81"/>
        <v>0</v>
      </c>
      <c r="AK88" s="149">
        <f t="shared" si="66"/>
        <v>5.0000000000000001E-4</v>
      </c>
      <c r="AL88" s="149">
        <f t="shared" si="67"/>
        <v>0</v>
      </c>
      <c r="AM88" s="149">
        <f t="shared" si="68"/>
        <v>2.9500000000000001E-4</v>
      </c>
      <c r="AN88" s="149">
        <f t="shared" si="69"/>
        <v>0</v>
      </c>
      <c r="AO88" s="149">
        <f t="shared" si="82"/>
        <v>0</v>
      </c>
      <c r="AP88" s="149">
        <f t="shared" si="82"/>
        <v>0</v>
      </c>
      <c r="AQ88" s="149">
        <f t="shared" si="83"/>
        <v>1.25E-4</v>
      </c>
      <c r="AR88" s="149">
        <f t="shared" si="70"/>
        <v>0</v>
      </c>
      <c r="AS88" s="149">
        <f t="shared" si="71"/>
        <v>0</v>
      </c>
      <c r="AT88" s="149">
        <f t="shared" si="72"/>
        <v>0</v>
      </c>
      <c r="AU88" s="149">
        <f t="shared" si="73"/>
        <v>0</v>
      </c>
      <c r="AV88" s="149">
        <f t="shared" si="74"/>
        <v>0</v>
      </c>
      <c r="AW88" s="149">
        <f t="shared" si="75"/>
        <v>0</v>
      </c>
      <c r="AX88" s="149">
        <f t="shared" si="76"/>
        <v>0</v>
      </c>
      <c r="AY88" s="149">
        <f t="shared" si="77"/>
        <v>0</v>
      </c>
      <c r="BA88" s="149" t="s">
        <v>88</v>
      </c>
      <c r="BB88" s="149">
        <f t="shared" si="84"/>
        <v>9.2000000000000003E-4</v>
      </c>
    </row>
    <row r="89" spans="1:54" x14ac:dyDescent="0.15">
      <c r="B89" t="s">
        <v>87</v>
      </c>
      <c r="C89" s="138">
        <f>C64-C75</f>
        <v>950</v>
      </c>
      <c r="D89" s="138">
        <f>D64-D75</f>
        <v>0</v>
      </c>
      <c r="E89" s="138">
        <f>E64-E75</f>
        <v>0</v>
      </c>
      <c r="F89" s="138">
        <f>F64-F75</f>
        <v>0</v>
      </c>
      <c r="G89" s="138">
        <f>G64-G75</f>
        <v>0</v>
      </c>
      <c r="H89">
        <f t="shared" si="78"/>
        <v>0</v>
      </c>
      <c r="I89" s="138">
        <f t="shared" si="79"/>
        <v>0</v>
      </c>
      <c r="J89">
        <f t="shared" si="53"/>
        <v>10</v>
      </c>
      <c r="K89" s="138">
        <f>K64-K75</f>
        <v>6570</v>
      </c>
      <c r="L89" s="138">
        <f>V64-V75</f>
        <v>0</v>
      </c>
      <c r="M89" s="138">
        <f>Q64-Q75</f>
        <v>0</v>
      </c>
      <c r="N89" s="138">
        <f>R64-R75</f>
        <v>950</v>
      </c>
      <c r="O89">
        <f>S64-S75</f>
        <v>0</v>
      </c>
      <c r="P89" s="114">
        <f>$T89/3</f>
        <v>53.333333333333336</v>
      </c>
      <c r="Q89" s="114">
        <f t="shared" si="80"/>
        <v>53.333333333333336</v>
      </c>
      <c r="R89" s="114">
        <f t="shared" si="80"/>
        <v>53.333333333333336</v>
      </c>
      <c r="T89">
        <f t="shared" si="57"/>
        <v>160</v>
      </c>
      <c r="U89" s="138">
        <f t="shared" si="58"/>
        <v>8640.0000000000018</v>
      </c>
      <c r="V89" s="138">
        <f>W64-W75</f>
        <v>8760</v>
      </c>
      <c r="W89" s="138">
        <f>X64-X75</f>
        <v>7610</v>
      </c>
      <c r="X89">
        <f>T64-T75</f>
        <v>80</v>
      </c>
      <c r="Y89" s="138">
        <f>H64-H75</f>
        <v>80</v>
      </c>
      <c r="Z89" s="138">
        <f>J64-J75</f>
        <v>0</v>
      </c>
      <c r="AA89">
        <f>L64-L75</f>
        <v>0</v>
      </c>
      <c r="AB89" s="138">
        <f>M64-M75</f>
        <v>0</v>
      </c>
      <c r="AC89">
        <f>U64-U75</f>
        <v>0</v>
      </c>
      <c r="AD89" s="138">
        <f>N64-N75</f>
        <v>0</v>
      </c>
      <c r="AE89" s="138">
        <f>O64-O75</f>
        <v>10</v>
      </c>
      <c r="AF89" s="138">
        <f>P64-P75</f>
        <v>0</v>
      </c>
      <c r="AH89" s="149"/>
      <c r="AI89" s="149" t="s">
        <v>87</v>
      </c>
      <c r="AJ89" s="149">
        <f t="shared" si="81"/>
        <v>3.1849999999999999E-3</v>
      </c>
      <c r="AK89" s="149">
        <f t="shared" si="66"/>
        <v>0</v>
      </c>
      <c r="AL89" s="149">
        <f t="shared" si="67"/>
        <v>0</v>
      </c>
      <c r="AM89" s="149">
        <f t="shared" si="68"/>
        <v>0</v>
      </c>
      <c r="AN89" s="149">
        <f t="shared" si="69"/>
        <v>0</v>
      </c>
      <c r="AO89" s="149">
        <f t="shared" si="82"/>
        <v>5.9599999999999996E-4</v>
      </c>
      <c r="AP89" s="149">
        <f t="shared" si="82"/>
        <v>5.0199999999999995E-4</v>
      </c>
      <c r="AQ89" s="149">
        <f t="shared" si="83"/>
        <v>9.2E-5</v>
      </c>
      <c r="AR89" s="149">
        <f t="shared" si="70"/>
        <v>3.9638E-2</v>
      </c>
      <c r="AS89" s="149">
        <f t="shared" si="71"/>
        <v>0</v>
      </c>
      <c r="AT89" s="149">
        <f t="shared" si="72"/>
        <v>0</v>
      </c>
      <c r="AU89" s="149">
        <f t="shared" si="73"/>
        <v>2.6830000000000001E-3</v>
      </c>
      <c r="AV89" s="149">
        <f t="shared" si="74"/>
        <v>0</v>
      </c>
      <c r="AW89" s="149">
        <f t="shared" si="75"/>
        <v>5.3333333333333333E-5</v>
      </c>
      <c r="AX89" s="149">
        <f t="shared" si="76"/>
        <v>5.3333333333333333E-5</v>
      </c>
      <c r="AY89" s="149">
        <f t="shared" si="77"/>
        <v>5.3333333333333333E-5</v>
      </c>
      <c r="BA89" s="149" t="s">
        <v>87</v>
      </c>
      <c r="BB89" s="149">
        <f t="shared" si="84"/>
        <v>4.3590999999999998E-2</v>
      </c>
    </row>
    <row r="90" spans="1:54" x14ac:dyDescent="0.15">
      <c r="B90" t="s">
        <v>86</v>
      </c>
      <c r="C90" s="138">
        <f>C65-C73</f>
        <v>35960</v>
      </c>
      <c r="D90" s="138">
        <f>D65-D73</f>
        <v>0</v>
      </c>
      <c r="E90" s="138">
        <f>E65-E73</f>
        <v>0</v>
      </c>
      <c r="F90" s="138">
        <f>F65-F73</f>
        <v>7041</v>
      </c>
      <c r="G90" s="138">
        <f>G65-G73</f>
        <v>0</v>
      </c>
      <c r="H90">
        <f t="shared" si="78"/>
        <v>8389</v>
      </c>
      <c r="I90" s="138">
        <f t="shared" si="79"/>
        <v>6688</v>
      </c>
      <c r="J90">
        <f t="shared" si="53"/>
        <v>3472</v>
      </c>
      <c r="K90" s="138">
        <f>K65-K73</f>
        <v>28499</v>
      </c>
      <c r="L90" s="138">
        <f>V65-V73</f>
        <v>0</v>
      </c>
      <c r="M90" s="138">
        <f>Q65-Q73</f>
        <v>15120</v>
      </c>
      <c r="N90" s="138">
        <f>R65-R73</f>
        <v>10466</v>
      </c>
      <c r="O90" s="138">
        <f>S65-S73</f>
        <v>0</v>
      </c>
      <c r="P90" s="114">
        <f t="shared" si="80"/>
        <v>10372.333333333334</v>
      </c>
      <c r="Q90" s="114">
        <f t="shared" si="80"/>
        <v>10372.333333333334</v>
      </c>
      <c r="R90" s="114">
        <f t="shared" si="80"/>
        <v>10372.333333333334</v>
      </c>
      <c r="T90" s="138">
        <f t="shared" ref="T90:T102" si="85">X90+Y90+Z90+AF90</f>
        <v>31117</v>
      </c>
      <c r="U90">
        <f t="shared" si="58"/>
        <v>146752</v>
      </c>
      <c r="V90" s="138">
        <f>W65-W73</f>
        <v>165588</v>
      </c>
      <c r="W90" s="138">
        <f>X65-X73</f>
        <v>105792</v>
      </c>
      <c r="X90" s="138">
        <f>T65-T73</f>
        <v>13686</v>
      </c>
      <c r="Y90" s="138">
        <f>H65-H73</f>
        <v>0</v>
      </c>
      <c r="Z90" s="138">
        <f>J65-J73</f>
        <v>10295</v>
      </c>
      <c r="AA90" s="138">
        <f>L65-L73</f>
        <v>3356</v>
      </c>
      <c r="AB90" s="138">
        <f>M65-M73</f>
        <v>5033</v>
      </c>
      <c r="AC90" s="138">
        <f>U65-U73</f>
        <v>6688</v>
      </c>
      <c r="AD90" s="138">
        <f>N65-N73</f>
        <v>3472</v>
      </c>
      <c r="AE90" s="138">
        <f>O65-O73</f>
        <v>0</v>
      </c>
      <c r="AF90" s="138">
        <f>P65-P73</f>
        <v>7136</v>
      </c>
      <c r="AH90" s="149"/>
      <c r="AI90" s="149" t="s">
        <v>86</v>
      </c>
      <c r="AJ90" s="149">
        <f t="shared" si="81"/>
        <v>4.6663000000000003E-2</v>
      </c>
      <c r="AK90" s="149">
        <f t="shared" si="66"/>
        <v>0</v>
      </c>
      <c r="AL90" s="149">
        <f t="shared" si="67"/>
        <v>0</v>
      </c>
      <c r="AM90" s="149">
        <f t="shared" si="68"/>
        <v>9.3349999999999995E-3</v>
      </c>
      <c r="AN90" s="149">
        <f t="shared" si="69"/>
        <v>0</v>
      </c>
      <c r="AO90" s="149">
        <f t="shared" si="82"/>
        <v>1.0283E-2</v>
      </c>
      <c r="AP90" s="149">
        <f t="shared" si="82"/>
        <v>8.7080000000000005E-3</v>
      </c>
      <c r="AQ90" s="149">
        <f t="shared" si="83"/>
        <v>4.5199999999999997E-3</v>
      </c>
      <c r="AR90" s="149">
        <f t="shared" si="70"/>
        <v>3.4932999999999999E-2</v>
      </c>
      <c r="AS90" s="149">
        <f t="shared" si="71"/>
        <v>0</v>
      </c>
      <c r="AT90" s="149">
        <f t="shared" si="72"/>
        <v>1.8370000000000001E-2</v>
      </c>
      <c r="AU90" s="149">
        <f t="shared" si="73"/>
        <v>1.2829E-2</v>
      </c>
      <c r="AV90" s="149">
        <f t="shared" si="74"/>
        <v>0</v>
      </c>
      <c r="AW90" s="149">
        <f t="shared" si="75"/>
        <v>1.3506666666666669E-2</v>
      </c>
      <c r="AX90" s="149">
        <f t="shared" si="76"/>
        <v>1.3506666666666669E-2</v>
      </c>
      <c r="AY90" s="149">
        <f t="shared" si="77"/>
        <v>1.3506666666666669E-2</v>
      </c>
      <c r="BA90" s="149" t="s">
        <v>86</v>
      </c>
      <c r="BB90" s="149">
        <f t="shared" si="84"/>
        <v>0.13397800000000001</v>
      </c>
    </row>
    <row r="91" spans="1:54" x14ac:dyDescent="0.15">
      <c r="B91" t="s">
        <v>85</v>
      </c>
      <c r="C91" s="138">
        <f t="shared" ref="C91:G92" si="86">C66</f>
        <v>4258</v>
      </c>
      <c r="D91" s="138">
        <f t="shared" si="86"/>
        <v>0</v>
      </c>
      <c r="E91" s="138">
        <f t="shared" si="86"/>
        <v>0</v>
      </c>
      <c r="F91" s="138">
        <f t="shared" si="86"/>
        <v>370</v>
      </c>
      <c r="G91" s="138">
        <f t="shared" si="86"/>
        <v>235</v>
      </c>
      <c r="H91">
        <f t="shared" si="78"/>
        <v>0</v>
      </c>
      <c r="I91" s="138">
        <f t="shared" si="79"/>
        <v>1474</v>
      </c>
      <c r="J91">
        <f t="shared" si="53"/>
        <v>584</v>
      </c>
      <c r="K91">
        <f>K66</f>
        <v>0</v>
      </c>
      <c r="L91">
        <f>V66</f>
        <v>0</v>
      </c>
      <c r="M91" s="138">
        <f t="shared" ref="M91:O92" si="87">Q66</f>
        <v>3019</v>
      </c>
      <c r="N91">
        <f t="shared" si="87"/>
        <v>0</v>
      </c>
      <c r="O91">
        <f t="shared" si="87"/>
        <v>0</v>
      </c>
      <c r="P91" s="114">
        <f>$T91/3</f>
        <v>227.66666666666666</v>
      </c>
      <c r="Q91" s="114">
        <f t="shared" si="80"/>
        <v>227.66666666666666</v>
      </c>
      <c r="R91" s="114">
        <f t="shared" si="80"/>
        <v>227.66666666666666</v>
      </c>
      <c r="T91">
        <f t="shared" si="85"/>
        <v>683</v>
      </c>
      <c r="U91">
        <f t="shared" si="58"/>
        <v>10622.999999999998</v>
      </c>
      <c r="V91" s="138">
        <f>W66</f>
        <v>11063</v>
      </c>
      <c r="W91" s="138">
        <f>X66</f>
        <v>6130</v>
      </c>
      <c r="X91">
        <f>T66</f>
        <v>0</v>
      </c>
      <c r="Y91">
        <f>H66</f>
        <v>0</v>
      </c>
      <c r="Z91">
        <f>J66</f>
        <v>70</v>
      </c>
      <c r="AA91">
        <f>L66</f>
        <v>0</v>
      </c>
      <c r="AB91">
        <f>M66</f>
        <v>0</v>
      </c>
      <c r="AC91">
        <f>U66</f>
        <v>1474</v>
      </c>
      <c r="AD91">
        <f t="shared" ref="AD91:AF92" si="88">N66</f>
        <v>584</v>
      </c>
      <c r="AE91">
        <f t="shared" si="88"/>
        <v>0</v>
      </c>
      <c r="AF91" s="138">
        <f t="shared" si="88"/>
        <v>613</v>
      </c>
      <c r="AH91" s="149"/>
      <c r="AI91" s="149" t="s">
        <v>85</v>
      </c>
      <c r="AJ91" s="149">
        <f t="shared" si="81"/>
        <v>8.9470000000000001E-3</v>
      </c>
      <c r="AK91" s="149">
        <f t="shared" si="66"/>
        <v>0</v>
      </c>
      <c r="AL91" s="149">
        <f t="shared" si="67"/>
        <v>0</v>
      </c>
      <c r="AM91" s="149">
        <f t="shared" si="68"/>
        <v>2.895E-3</v>
      </c>
      <c r="AN91" s="149">
        <f t="shared" si="69"/>
        <v>4.7600000000000002E-4</v>
      </c>
      <c r="AO91" s="149">
        <f t="shared" si="82"/>
        <v>0</v>
      </c>
      <c r="AP91" s="149">
        <f t="shared" si="82"/>
        <v>3.1150000000000001E-3</v>
      </c>
      <c r="AQ91" s="149">
        <f t="shared" si="83"/>
        <v>2.147E-3</v>
      </c>
      <c r="AR91" s="149">
        <f t="shared" si="70"/>
        <v>0</v>
      </c>
      <c r="AS91" s="149">
        <f t="shared" si="71"/>
        <v>0</v>
      </c>
      <c r="AT91" s="149">
        <f t="shared" si="72"/>
        <v>6.0670000000000003E-3</v>
      </c>
      <c r="AU91" s="149">
        <f t="shared" si="73"/>
        <v>0</v>
      </c>
      <c r="AV91" s="149">
        <f t="shared" si="74"/>
        <v>0</v>
      </c>
      <c r="AW91" s="149">
        <f t="shared" si="75"/>
        <v>5.8833333333333339E-4</v>
      </c>
      <c r="AX91" s="149">
        <f t="shared" si="76"/>
        <v>5.8833333333333339E-4</v>
      </c>
      <c r="AY91" s="149">
        <f t="shared" si="77"/>
        <v>5.8833333333333339E-4</v>
      </c>
      <c r="BA91" s="149" t="s">
        <v>85</v>
      </c>
      <c r="BB91" s="149">
        <f t="shared" si="84"/>
        <v>1.6230000000000001E-2</v>
      </c>
    </row>
    <row r="92" spans="1:54" x14ac:dyDescent="0.15">
      <c r="B92" t="s">
        <v>84</v>
      </c>
      <c r="C92" s="138">
        <f t="shared" si="86"/>
        <v>1610</v>
      </c>
      <c r="D92" s="138">
        <f t="shared" si="86"/>
        <v>0</v>
      </c>
      <c r="E92" s="138">
        <f t="shared" si="86"/>
        <v>0</v>
      </c>
      <c r="F92" s="138">
        <f t="shared" si="86"/>
        <v>777</v>
      </c>
      <c r="G92" s="138">
        <f t="shared" si="86"/>
        <v>0</v>
      </c>
      <c r="H92">
        <f t="shared" si="78"/>
        <v>1367</v>
      </c>
      <c r="I92" s="138">
        <f t="shared" si="79"/>
        <v>321</v>
      </c>
      <c r="J92">
        <f t="shared" si="53"/>
        <v>670</v>
      </c>
      <c r="K92">
        <f>K67</f>
        <v>905</v>
      </c>
      <c r="L92">
        <f>V67</f>
        <v>0</v>
      </c>
      <c r="M92" s="138">
        <f t="shared" si="87"/>
        <v>523</v>
      </c>
      <c r="N92">
        <f t="shared" si="87"/>
        <v>332</v>
      </c>
      <c r="O92">
        <f t="shared" si="87"/>
        <v>0</v>
      </c>
      <c r="P92" s="114">
        <f t="shared" si="80"/>
        <v>322</v>
      </c>
      <c r="Q92" s="114">
        <f t="shared" si="80"/>
        <v>322</v>
      </c>
      <c r="R92" s="114">
        <f t="shared" si="80"/>
        <v>322</v>
      </c>
      <c r="T92">
        <f t="shared" si="85"/>
        <v>966</v>
      </c>
      <c r="U92">
        <f t="shared" si="58"/>
        <v>7471</v>
      </c>
      <c r="V92" s="138">
        <f>W67</f>
        <v>8566</v>
      </c>
      <c r="W92" s="138">
        <f>X67</f>
        <v>5860</v>
      </c>
      <c r="X92">
        <f>T67</f>
        <v>434</v>
      </c>
      <c r="Y92">
        <f>H67</f>
        <v>0</v>
      </c>
      <c r="Z92">
        <f>J67</f>
        <v>319</v>
      </c>
      <c r="AA92">
        <f>L67</f>
        <v>107</v>
      </c>
      <c r="AB92">
        <f>M67</f>
        <v>1260</v>
      </c>
      <c r="AC92">
        <f>U67</f>
        <v>321</v>
      </c>
      <c r="AD92">
        <f t="shared" si="88"/>
        <v>670</v>
      </c>
      <c r="AE92">
        <f t="shared" si="88"/>
        <v>0</v>
      </c>
      <c r="AF92" s="138">
        <f t="shared" si="88"/>
        <v>213</v>
      </c>
      <c r="AH92" s="149"/>
      <c r="AI92" s="149" t="s">
        <v>84</v>
      </c>
      <c r="AJ92" s="149">
        <f t="shared" si="81"/>
        <v>6.8500000000000002E-3</v>
      </c>
      <c r="AK92" s="149">
        <f t="shared" si="66"/>
        <v>0</v>
      </c>
      <c r="AL92" s="149">
        <f t="shared" si="67"/>
        <v>0</v>
      </c>
      <c r="AM92" s="149">
        <f t="shared" si="68"/>
        <v>1.8489999999999999E-3</v>
      </c>
      <c r="AN92" s="149">
        <f t="shared" si="69"/>
        <v>0</v>
      </c>
      <c r="AO92" s="149">
        <f>(H92+H37)/10^6</f>
        <v>2.862E-3</v>
      </c>
      <c r="AP92" s="149">
        <f>(I92+I37)/10^6</f>
        <v>1.1850000000000001E-3</v>
      </c>
      <c r="AQ92" s="149">
        <f>(J92+J37)/10^6</f>
        <v>1.3159999999999999E-3</v>
      </c>
      <c r="AR92" s="149">
        <f t="shared" si="70"/>
        <v>4.5230000000000001E-3</v>
      </c>
      <c r="AS92" s="149">
        <f t="shared" si="71"/>
        <v>0</v>
      </c>
      <c r="AT92" s="149">
        <f t="shared" si="72"/>
        <v>1.8339999999999999E-3</v>
      </c>
      <c r="AU92" s="149">
        <f t="shared" si="73"/>
        <v>1.6609999999999999E-3</v>
      </c>
      <c r="AV92" s="149">
        <f t="shared" si="74"/>
        <v>0</v>
      </c>
      <c r="AW92" s="149">
        <f t="shared" si="75"/>
        <v>1.6106666666666667E-3</v>
      </c>
      <c r="AX92" s="149">
        <f t="shared" si="76"/>
        <v>1.6106666666666667E-3</v>
      </c>
      <c r="AY92" s="149">
        <f t="shared" si="77"/>
        <v>1.6106666666666667E-3</v>
      </c>
      <c r="BA92" s="149" t="s">
        <v>84</v>
      </c>
      <c r="BB92" s="149">
        <f t="shared" si="84"/>
        <v>2.0060000000000001E-2</v>
      </c>
    </row>
    <row r="93" spans="1:54" x14ac:dyDescent="0.15">
      <c r="B93" s="142" t="s">
        <v>131</v>
      </c>
      <c r="C93">
        <f>C72</f>
        <v>0</v>
      </c>
      <c r="D93" s="138">
        <f>D72</f>
        <v>9809</v>
      </c>
      <c r="E93" s="138">
        <f>E72</f>
        <v>1154</v>
      </c>
      <c r="F93" s="138">
        <f>F72</f>
        <v>577</v>
      </c>
      <c r="G93">
        <f>G72</f>
        <v>0</v>
      </c>
      <c r="H93">
        <f t="shared" si="78"/>
        <v>60</v>
      </c>
      <c r="I93" s="138">
        <f t="shared" si="79"/>
        <v>0</v>
      </c>
      <c r="J93">
        <f t="shared" si="53"/>
        <v>0</v>
      </c>
      <c r="K93">
        <f>K72</f>
        <v>0</v>
      </c>
      <c r="L93" s="138">
        <f>V72</f>
        <v>9809</v>
      </c>
      <c r="M93">
        <f>Q72</f>
        <v>577</v>
      </c>
      <c r="N93">
        <f>R72</f>
        <v>208</v>
      </c>
      <c r="O93">
        <f>S72</f>
        <v>92</v>
      </c>
      <c r="P93" s="114">
        <f>$T93/3</f>
        <v>92.333333333333329</v>
      </c>
      <c r="Q93" s="114">
        <f t="shared" si="80"/>
        <v>92.333333333333329</v>
      </c>
      <c r="R93" s="114">
        <f t="shared" si="80"/>
        <v>92.333333333333329</v>
      </c>
      <c r="T93">
        <f t="shared" si="85"/>
        <v>277</v>
      </c>
      <c r="U93">
        <f t="shared" si="58"/>
        <v>22562.999999999996</v>
      </c>
      <c r="V93" s="138">
        <f>W72</f>
        <v>23140</v>
      </c>
      <c r="W93" s="138">
        <f>X72</f>
        <v>11600</v>
      </c>
      <c r="X93">
        <f>T72</f>
        <v>277</v>
      </c>
      <c r="Y93">
        <f>H72</f>
        <v>0</v>
      </c>
      <c r="Z93">
        <f>J72</f>
        <v>0</v>
      </c>
      <c r="AA93">
        <f>L72</f>
        <v>60</v>
      </c>
      <c r="AB93">
        <f>M72</f>
        <v>0</v>
      </c>
      <c r="AC93">
        <f>U72</f>
        <v>0</v>
      </c>
      <c r="AD93">
        <f>N72</f>
        <v>0</v>
      </c>
      <c r="AE93">
        <f>O72</f>
        <v>0</v>
      </c>
      <c r="AF93">
        <f>P72</f>
        <v>0</v>
      </c>
      <c r="AH93" s="149"/>
      <c r="AI93" s="149" t="s">
        <v>131</v>
      </c>
      <c r="AJ93" s="149">
        <f t="shared" si="81"/>
        <v>0</v>
      </c>
      <c r="AK93" s="149">
        <f t="shared" si="66"/>
        <v>1.9618E-2</v>
      </c>
      <c r="AL93" s="149">
        <f t="shared" si="67"/>
        <v>2.3080000000000002E-3</v>
      </c>
      <c r="AM93" s="149">
        <f t="shared" si="68"/>
        <v>1.1540000000000001E-3</v>
      </c>
      <c r="AN93" s="149">
        <f t="shared" si="69"/>
        <v>0</v>
      </c>
      <c r="AO93" s="149">
        <f t="shared" si="82"/>
        <v>1.2E-4</v>
      </c>
      <c r="AP93" s="149">
        <f t="shared" si="82"/>
        <v>0</v>
      </c>
      <c r="AQ93" s="149">
        <f t="shared" si="83"/>
        <v>0</v>
      </c>
      <c r="AR93" s="149">
        <f t="shared" si="70"/>
        <v>0</v>
      </c>
      <c r="AS93" s="149">
        <f t="shared" si="71"/>
        <v>1.9618E-2</v>
      </c>
      <c r="AT93" s="149">
        <f t="shared" si="72"/>
        <v>1.1540000000000001E-3</v>
      </c>
      <c r="AU93" s="149">
        <f t="shared" si="73"/>
        <v>4.1599999999999997E-4</v>
      </c>
      <c r="AV93" s="149">
        <f t="shared" si="74"/>
        <v>1.84E-4</v>
      </c>
      <c r="AW93" s="149">
        <f t="shared" si="75"/>
        <v>1.8466666666666666E-4</v>
      </c>
      <c r="AX93" s="149">
        <f t="shared" si="76"/>
        <v>1.8466666666666666E-4</v>
      </c>
      <c r="AY93" s="149">
        <f t="shared" si="77"/>
        <v>1.8466666666666666E-4</v>
      </c>
      <c r="BA93" s="149" t="s">
        <v>131</v>
      </c>
      <c r="BB93" s="149">
        <f t="shared" si="84"/>
        <v>2.3199999999999998E-2</v>
      </c>
    </row>
    <row r="94" spans="1:54" x14ac:dyDescent="0.15">
      <c r="B94" s="142" t="s">
        <v>132</v>
      </c>
      <c r="C94" s="138">
        <f>C68-C72-C74</f>
        <v>0</v>
      </c>
      <c r="D94" s="138">
        <f>D68-D72-D74</f>
        <v>822</v>
      </c>
      <c r="E94" s="138">
        <f>E68-E72-E74</f>
        <v>5455</v>
      </c>
      <c r="F94" s="138">
        <f>F68-F72-F74</f>
        <v>1351</v>
      </c>
      <c r="G94" s="138">
        <f>G68-G72-G74</f>
        <v>942</v>
      </c>
      <c r="H94">
        <f t="shared" si="78"/>
        <v>0</v>
      </c>
      <c r="I94" s="138">
        <f t="shared" si="79"/>
        <v>0</v>
      </c>
      <c r="J94">
        <f t="shared" si="53"/>
        <v>0</v>
      </c>
      <c r="K94" s="138">
        <f>K68-K72-K74</f>
        <v>0</v>
      </c>
      <c r="L94" s="138">
        <f>V68-V72-V74</f>
        <v>822</v>
      </c>
      <c r="M94" s="138">
        <f>Q68-Q72-Q74</f>
        <v>3193</v>
      </c>
      <c r="N94" s="138">
        <f>R68-R72-R74</f>
        <v>1134</v>
      </c>
      <c r="O94" s="138">
        <f>S68-S72-S74</f>
        <v>511</v>
      </c>
      <c r="P94" s="114">
        <f>$T94/3</f>
        <v>1100</v>
      </c>
      <c r="Q94" s="114">
        <f t="shared" si="80"/>
        <v>1100</v>
      </c>
      <c r="R94" s="114">
        <f t="shared" si="80"/>
        <v>1100</v>
      </c>
      <c r="S94" s="138"/>
      <c r="T94" s="138">
        <f t="shared" si="85"/>
        <v>3300</v>
      </c>
      <c r="U94" s="138">
        <f t="shared" si="58"/>
        <v>17530</v>
      </c>
      <c r="V94" s="138">
        <f>W68-W72-W74</f>
        <v>21647</v>
      </c>
      <c r="W94" s="138">
        <f>X68-X72-X74</f>
        <v>10286</v>
      </c>
      <c r="X94" s="138">
        <f>T68-T72-T74</f>
        <v>1529</v>
      </c>
      <c r="Y94" s="138">
        <f>H68-H72-H74</f>
        <v>6</v>
      </c>
      <c r="Z94" s="138">
        <f>J68-J72-J74</f>
        <v>1765</v>
      </c>
      <c r="AA94" s="138">
        <f>L68-L72-L74</f>
        <v>0</v>
      </c>
      <c r="AB94" s="138">
        <f>M68-M72-M74</f>
        <v>0</v>
      </c>
      <c r="AC94" s="138">
        <f>U68-U72-U74</f>
        <v>0</v>
      </c>
      <c r="AD94" s="138">
        <f>N68-N72-N74</f>
        <v>0</v>
      </c>
      <c r="AE94" s="138">
        <f>O68-O72-O74</f>
        <v>0</v>
      </c>
      <c r="AF94" s="138">
        <f>P68-P72-P74</f>
        <v>0</v>
      </c>
      <c r="AH94" s="149"/>
      <c r="AI94" s="149" t="s">
        <v>132</v>
      </c>
      <c r="AJ94" s="149">
        <f t="shared" si="81"/>
        <v>0</v>
      </c>
      <c r="AK94" s="149">
        <f t="shared" si="66"/>
        <v>4.3379999999999998E-3</v>
      </c>
      <c r="AL94" s="149">
        <f t="shared" si="67"/>
        <v>7.1799999999999998E-3</v>
      </c>
      <c r="AM94" s="149">
        <f t="shared" si="68"/>
        <v>2.101E-3</v>
      </c>
      <c r="AN94" s="149">
        <f t="shared" si="69"/>
        <v>9.4200000000000002E-4</v>
      </c>
      <c r="AO94" s="149">
        <f t="shared" si="82"/>
        <v>2E-3</v>
      </c>
      <c r="AP94" s="149">
        <f t="shared" si="82"/>
        <v>0</v>
      </c>
      <c r="AQ94" s="149">
        <f t="shared" si="83"/>
        <v>0</v>
      </c>
      <c r="AR94" s="149">
        <f t="shared" si="70"/>
        <v>6.0000000000000001E-3</v>
      </c>
      <c r="AS94" s="149">
        <f t="shared" si="71"/>
        <v>4.2750000000000002E-3</v>
      </c>
      <c r="AT94" s="149">
        <f t="shared" si="72"/>
        <v>4.0559999999999997E-3</v>
      </c>
      <c r="AU94" s="149">
        <f t="shared" si="73"/>
        <v>1.4450000000000001E-3</v>
      </c>
      <c r="AV94" s="149">
        <f t="shared" si="74"/>
        <v>6.4899999999999995E-4</v>
      </c>
      <c r="AW94" s="149">
        <f t="shared" si="75"/>
        <v>1.238E-3</v>
      </c>
      <c r="AX94" s="149">
        <f t="shared" si="76"/>
        <v>1.238E-3</v>
      </c>
      <c r="AY94" s="149">
        <f t="shared" si="77"/>
        <v>1.238E-3</v>
      </c>
      <c r="BA94" s="149" t="s">
        <v>132</v>
      </c>
      <c r="BB94" s="149">
        <f t="shared" si="84"/>
        <v>2.4101999999999998E-2</v>
      </c>
    </row>
    <row r="95" spans="1:54" x14ac:dyDescent="0.15">
      <c r="B95" s="142" t="s">
        <v>83</v>
      </c>
      <c r="C95" s="138">
        <f>C69-C76-C77</f>
        <v>11000</v>
      </c>
      <c r="D95" s="138">
        <f>D69-D76-D77</f>
        <v>0</v>
      </c>
      <c r="E95" s="138">
        <f>E69-E76-E77</f>
        <v>75</v>
      </c>
      <c r="F95" s="138">
        <f>F69-F76-F77</f>
        <v>4000</v>
      </c>
      <c r="G95" s="138">
        <f>G69-G76-G77</f>
        <v>4075</v>
      </c>
      <c r="H95">
        <f t="shared" si="78"/>
        <v>3</v>
      </c>
      <c r="I95" s="138">
        <f t="shared" si="79"/>
        <v>0</v>
      </c>
      <c r="J95" s="138">
        <f>AE95+AD95</f>
        <v>1</v>
      </c>
      <c r="K95" s="138">
        <f>K69-K76-K77</f>
        <v>0</v>
      </c>
      <c r="L95" s="138">
        <f>V69-V76-V77</f>
        <v>0</v>
      </c>
      <c r="M95" s="138">
        <f>Q69-Q76-Q77</f>
        <v>7575</v>
      </c>
      <c r="N95" s="138">
        <f>R69-R76-R77</f>
        <v>2727</v>
      </c>
      <c r="O95" s="138">
        <f>S69</f>
        <v>1212</v>
      </c>
      <c r="P95" s="114">
        <f>$T95/3</f>
        <v>1373.6666666666667</v>
      </c>
      <c r="Q95" s="114">
        <f t="shared" si="80"/>
        <v>1373.6666666666667</v>
      </c>
      <c r="R95" s="114">
        <f t="shared" si="80"/>
        <v>1373.6666666666667</v>
      </c>
      <c r="T95">
        <f t="shared" si="85"/>
        <v>4121</v>
      </c>
      <c r="U95">
        <f t="shared" si="58"/>
        <v>34789</v>
      </c>
      <c r="V95" s="138">
        <f>W69-V100-V101</f>
        <v>40105</v>
      </c>
      <c r="W95" s="138">
        <f>X69-W100-W101</f>
        <v>19150</v>
      </c>
      <c r="X95" s="138">
        <f>T69-X100-X101</f>
        <v>3635</v>
      </c>
      <c r="Y95" s="138">
        <f>H69-Y100-Y101</f>
        <v>0</v>
      </c>
      <c r="Z95" s="138">
        <f>J69-Z100-Z101</f>
        <v>0</v>
      </c>
      <c r="AA95" s="138">
        <f>L69-AA100-AA101</f>
        <v>1</v>
      </c>
      <c r="AB95" s="138">
        <f>M69-AB100-AB101</f>
        <v>2</v>
      </c>
      <c r="AC95" s="138">
        <f>U69-AC100-AC101</f>
        <v>0</v>
      </c>
      <c r="AD95" s="138">
        <f>N69-AD100-AD101</f>
        <v>1</v>
      </c>
      <c r="AE95" s="138">
        <f>O69-AE100-AE101</f>
        <v>0</v>
      </c>
      <c r="AF95" s="138">
        <f>P69-AF101-AF100</f>
        <v>486</v>
      </c>
      <c r="AH95" s="149"/>
      <c r="AI95" s="149" t="s">
        <v>83</v>
      </c>
      <c r="AJ95" s="149">
        <f t="shared" si="81"/>
        <v>1.0999999999999999E-2</v>
      </c>
      <c r="AK95" s="149">
        <f t="shared" si="66"/>
        <v>0</v>
      </c>
      <c r="AL95" s="149">
        <f t="shared" si="67"/>
        <v>1.7000000000000001E-4</v>
      </c>
      <c r="AM95" s="149">
        <f t="shared" si="68"/>
        <v>4.1999999999999997E-3</v>
      </c>
      <c r="AN95" s="149">
        <f t="shared" si="69"/>
        <v>4.1370000000000001E-3</v>
      </c>
      <c r="AO95" s="149">
        <f t="shared" si="82"/>
        <v>3.0000000000000001E-6</v>
      </c>
      <c r="AP95" s="149">
        <f t="shared" si="82"/>
        <v>0</v>
      </c>
      <c r="AQ95" s="149">
        <f t="shared" si="83"/>
        <v>5.8999999999999998E-5</v>
      </c>
      <c r="AR95" s="149">
        <f t="shared" si="70"/>
        <v>0</v>
      </c>
      <c r="AS95" s="149">
        <f t="shared" si="71"/>
        <v>0</v>
      </c>
      <c r="AT95" s="149">
        <f t="shared" si="72"/>
        <v>7.6540000000000002E-3</v>
      </c>
      <c r="AU95" s="149">
        <f t="shared" si="73"/>
        <v>2.7269999999999998E-3</v>
      </c>
      <c r="AV95" s="149">
        <f t="shared" si="74"/>
        <v>1.225E-3</v>
      </c>
      <c r="AW95" s="149">
        <f t="shared" si="75"/>
        <v>1.3860000000000001E-3</v>
      </c>
      <c r="AX95" s="149">
        <f t="shared" si="76"/>
        <v>1.3860000000000001E-3</v>
      </c>
      <c r="AY95" s="149">
        <f t="shared" si="77"/>
        <v>1.3860000000000001E-3</v>
      </c>
      <c r="BA95" s="149" t="s">
        <v>83</v>
      </c>
      <c r="BB95" s="149">
        <f t="shared" si="84"/>
        <v>1.9564000000000002E-2</v>
      </c>
    </row>
    <row r="96" spans="1:54" x14ac:dyDescent="0.15">
      <c r="B96" t="s">
        <v>82</v>
      </c>
      <c r="C96">
        <f>C70</f>
        <v>0</v>
      </c>
      <c r="D96" s="138">
        <f>D70</f>
        <v>22055</v>
      </c>
      <c r="E96">
        <f>E70</f>
        <v>0</v>
      </c>
      <c r="F96">
        <f>F70</f>
        <v>0</v>
      </c>
      <c r="G96">
        <f>G70</f>
        <v>0</v>
      </c>
      <c r="H96">
        <f t="shared" si="78"/>
        <v>0</v>
      </c>
      <c r="I96" s="138">
        <f t="shared" si="79"/>
        <v>0</v>
      </c>
      <c r="J96">
        <f t="shared" ref="J96:J101" si="89">AE96+AD96</f>
        <v>0</v>
      </c>
      <c r="K96" s="138">
        <f>K70</f>
        <v>55000</v>
      </c>
      <c r="L96" s="138">
        <f>V70</f>
        <v>22055</v>
      </c>
      <c r="M96" s="138">
        <f>Q70</f>
        <v>0</v>
      </c>
      <c r="N96" s="138">
        <f>R70</f>
        <v>0</v>
      </c>
      <c r="O96" s="138">
        <f>S70</f>
        <v>0</v>
      </c>
      <c r="P96" s="114">
        <f>$T96/3</f>
        <v>0</v>
      </c>
      <c r="Q96" s="114">
        <f t="shared" si="80"/>
        <v>0</v>
      </c>
      <c r="R96" s="114">
        <f t="shared" si="80"/>
        <v>0</v>
      </c>
      <c r="T96" s="138">
        <f t="shared" si="85"/>
        <v>0</v>
      </c>
      <c r="U96">
        <f t="shared" si="58"/>
        <v>99110</v>
      </c>
      <c r="V96" s="138">
        <f>W70</f>
        <v>99110</v>
      </c>
      <c r="W96" s="138">
        <f>X70</f>
        <v>77055</v>
      </c>
      <c r="X96" s="138">
        <f>T70</f>
        <v>0</v>
      </c>
      <c r="Y96">
        <f>H70</f>
        <v>0</v>
      </c>
      <c r="Z96">
        <f>J70</f>
        <v>0</v>
      </c>
      <c r="AA96">
        <f>L70</f>
        <v>0</v>
      </c>
      <c r="AB96">
        <f>M70</f>
        <v>0</v>
      </c>
      <c r="AC96">
        <f>U70</f>
        <v>0</v>
      </c>
      <c r="AD96">
        <f>N70</f>
        <v>0</v>
      </c>
      <c r="AE96">
        <f>O70</f>
        <v>0</v>
      </c>
      <c r="AF96" s="138">
        <f>P70</f>
        <v>0</v>
      </c>
      <c r="AH96" s="149"/>
      <c r="AI96" s="149" t="s">
        <v>82</v>
      </c>
      <c r="AJ96" s="149">
        <f t="shared" si="81"/>
        <v>0</v>
      </c>
      <c r="AK96" s="149">
        <f t="shared" si="66"/>
        <v>2.2055000000000002E-2</v>
      </c>
      <c r="AL96" s="149">
        <f t="shared" si="67"/>
        <v>0</v>
      </c>
      <c r="AM96" s="149">
        <f t="shared" si="68"/>
        <v>6.6600000000000003E-4</v>
      </c>
      <c r="AN96" s="149">
        <f t="shared" si="69"/>
        <v>0</v>
      </c>
      <c r="AO96" s="149">
        <f t="shared" si="82"/>
        <v>0</v>
      </c>
      <c r="AP96" s="149">
        <f t="shared" si="82"/>
        <v>0</v>
      </c>
      <c r="AQ96" s="149">
        <f t="shared" si="83"/>
        <v>6.6600000000000003E-4</v>
      </c>
      <c r="AR96" s="149">
        <f t="shared" si="70"/>
        <v>6.0665999999999998E-2</v>
      </c>
      <c r="AS96" s="149">
        <f t="shared" si="71"/>
        <v>2.2055000000000002E-2</v>
      </c>
      <c r="AT96" s="149">
        <f t="shared" si="72"/>
        <v>0</v>
      </c>
      <c r="AU96" s="149">
        <f t="shared" si="73"/>
        <v>0</v>
      </c>
      <c r="AV96" s="149">
        <f t="shared" si="74"/>
        <v>0</v>
      </c>
      <c r="AW96" s="149">
        <f t="shared" si="75"/>
        <v>0</v>
      </c>
      <c r="AX96" s="149">
        <f t="shared" si="76"/>
        <v>0</v>
      </c>
      <c r="AY96" s="149">
        <f t="shared" si="77"/>
        <v>0</v>
      </c>
      <c r="BA96" s="149" t="s">
        <v>82</v>
      </c>
      <c r="BB96" s="149">
        <f t="shared" si="84"/>
        <v>8.4053000000000003E-2</v>
      </c>
    </row>
    <row r="97" spans="1:54" x14ac:dyDescent="0.15">
      <c r="B97" s="142" t="s">
        <v>272</v>
      </c>
      <c r="C97">
        <f t="shared" ref="C97:G101" si="90">C73</f>
        <v>5000</v>
      </c>
      <c r="D97">
        <f t="shared" si="90"/>
        <v>0</v>
      </c>
      <c r="E97" s="138">
        <f t="shared" si="90"/>
        <v>5000</v>
      </c>
      <c r="F97">
        <f t="shared" si="90"/>
        <v>1500</v>
      </c>
      <c r="G97">
        <f t="shared" si="90"/>
        <v>0</v>
      </c>
      <c r="H97">
        <f t="shared" si="78"/>
        <v>0</v>
      </c>
      <c r="I97" s="138">
        <f t="shared" si="79"/>
        <v>0</v>
      </c>
      <c r="J97">
        <f t="shared" si="89"/>
        <v>3000</v>
      </c>
      <c r="K97">
        <f>K73</f>
        <v>0</v>
      </c>
      <c r="L97" s="138">
        <f>V73</f>
        <v>0</v>
      </c>
      <c r="M97" s="138">
        <f t="shared" ref="M97:O101" si="91">Q73</f>
        <v>0</v>
      </c>
      <c r="N97" s="138">
        <f t="shared" si="91"/>
        <v>2000</v>
      </c>
      <c r="O97" s="138">
        <f t="shared" si="91"/>
        <v>2300</v>
      </c>
      <c r="P97" s="114">
        <f>$T97/3</f>
        <v>0</v>
      </c>
      <c r="Q97" s="114">
        <f>$T97/3</f>
        <v>0</v>
      </c>
      <c r="R97" s="114">
        <f>$T97/3</f>
        <v>0</v>
      </c>
      <c r="T97" s="138">
        <f t="shared" si="85"/>
        <v>0</v>
      </c>
      <c r="U97">
        <f t="shared" si="58"/>
        <v>18800</v>
      </c>
      <c r="V97" s="138">
        <f t="shared" ref="V97:W101" si="92">W73</f>
        <v>18800</v>
      </c>
      <c r="W97" s="138">
        <f t="shared" si="92"/>
        <v>13800</v>
      </c>
      <c r="X97" s="138">
        <f>T73</f>
        <v>0</v>
      </c>
      <c r="Y97">
        <f>H73</f>
        <v>0</v>
      </c>
      <c r="Z97">
        <f>J73</f>
        <v>0</v>
      </c>
      <c r="AA97">
        <f t="shared" ref="AA97:AB101" si="93">L73</f>
        <v>0</v>
      </c>
      <c r="AB97">
        <f t="shared" si="93"/>
        <v>0</v>
      </c>
      <c r="AC97">
        <f>U73</f>
        <v>0</v>
      </c>
      <c r="AD97">
        <f t="shared" ref="AD97:AF101" si="94">N73</f>
        <v>3000</v>
      </c>
      <c r="AE97">
        <f t="shared" si="94"/>
        <v>0</v>
      </c>
      <c r="AF97" s="138">
        <f t="shared" si="94"/>
        <v>0</v>
      </c>
      <c r="AH97" s="149"/>
      <c r="AI97" s="149" t="s">
        <v>272</v>
      </c>
      <c r="AJ97" s="149">
        <f t="shared" ref="AJ97:AP101" si="95">(C97+C42)/10^6</f>
        <v>5.0000000000000001E-3</v>
      </c>
      <c r="AK97" s="149">
        <f t="shared" si="95"/>
        <v>0</v>
      </c>
      <c r="AL97" s="149">
        <f t="shared" si="95"/>
        <v>5.0000000000000001E-3</v>
      </c>
      <c r="AM97" s="149">
        <f t="shared" si="95"/>
        <v>1.5E-3</v>
      </c>
      <c r="AN97" s="149">
        <f t="shared" si="95"/>
        <v>0</v>
      </c>
      <c r="AO97" s="149">
        <f t="shared" si="95"/>
        <v>0</v>
      </c>
      <c r="AP97" s="149">
        <f t="shared" si="95"/>
        <v>0</v>
      </c>
      <c r="AQ97" s="149">
        <f t="shared" ref="AQ97:AY97" si="96">(J97+J42)/10^6</f>
        <v>3.0000000000000001E-3</v>
      </c>
      <c r="AR97" s="149">
        <f t="shared" si="96"/>
        <v>0</v>
      </c>
      <c r="AS97" s="149">
        <f t="shared" si="96"/>
        <v>0</v>
      </c>
      <c r="AT97" s="149">
        <f t="shared" si="96"/>
        <v>0</v>
      </c>
      <c r="AU97" s="149">
        <f t="shared" si="96"/>
        <v>2E-3</v>
      </c>
      <c r="AV97" s="149">
        <f t="shared" si="96"/>
        <v>2.3E-3</v>
      </c>
      <c r="AW97" s="149">
        <f t="shared" si="96"/>
        <v>0</v>
      </c>
      <c r="AX97" s="149">
        <f t="shared" si="96"/>
        <v>0</v>
      </c>
      <c r="AY97" s="149">
        <f t="shared" si="96"/>
        <v>0</v>
      </c>
      <c r="BA97" s="149" t="s">
        <v>272</v>
      </c>
      <c r="BB97" s="149">
        <f>(W97+W42)/10^6</f>
        <v>1.38E-2</v>
      </c>
    </row>
    <row r="98" spans="1:54" x14ac:dyDescent="0.15">
      <c r="B98" s="142" t="s">
        <v>273</v>
      </c>
      <c r="C98">
        <f t="shared" si="90"/>
        <v>0</v>
      </c>
      <c r="D98">
        <f t="shared" si="90"/>
        <v>5319</v>
      </c>
      <c r="E98">
        <f t="shared" si="90"/>
        <v>13461</v>
      </c>
      <c r="F98">
        <f t="shared" si="90"/>
        <v>0</v>
      </c>
      <c r="G98">
        <f t="shared" si="90"/>
        <v>0</v>
      </c>
      <c r="H98">
        <f t="shared" si="78"/>
        <v>0</v>
      </c>
      <c r="I98" s="138">
        <f t="shared" si="79"/>
        <v>0</v>
      </c>
      <c r="J98">
        <f>AE98+AD98</f>
        <v>0</v>
      </c>
      <c r="K98">
        <f>K74</f>
        <v>11120</v>
      </c>
      <c r="L98" s="138">
        <f>V74</f>
        <v>5319</v>
      </c>
      <c r="M98" s="138">
        <f t="shared" si="91"/>
        <v>8310</v>
      </c>
      <c r="N98" s="138">
        <f t="shared" si="91"/>
        <v>4014</v>
      </c>
      <c r="O98" s="138">
        <f t="shared" si="91"/>
        <v>836</v>
      </c>
      <c r="P98" s="114">
        <f t="shared" ref="P98:R101" si="97">$T98/3</f>
        <v>2666.6666666666665</v>
      </c>
      <c r="Q98" s="114">
        <f t="shared" si="97"/>
        <v>2666.6666666666665</v>
      </c>
      <c r="R98" s="114">
        <f t="shared" si="97"/>
        <v>2666.6666666666665</v>
      </c>
      <c r="T98" s="138">
        <f t="shared" si="85"/>
        <v>8000</v>
      </c>
      <c r="U98">
        <f t="shared" si="58"/>
        <v>56378.999999999993</v>
      </c>
      <c r="V98" s="138">
        <f t="shared" si="92"/>
        <v>56379</v>
      </c>
      <c r="W98" s="138">
        <f t="shared" si="92"/>
        <v>37625</v>
      </c>
      <c r="X98" s="138">
        <f>T74</f>
        <v>330</v>
      </c>
      <c r="Y98">
        <f>H74</f>
        <v>6670</v>
      </c>
      <c r="Z98">
        <f>J74</f>
        <v>1000</v>
      </c>
      <c r="AA98">
        <f t="shared" si="93"/>
        <v>0</v>
      </c>
      <c r="AB98">
        <f t="shared" si="93"/>
        <v>0</v>
      </c>
      <c r="AC98">
        <f>U74</f>
        <v>0</v>
      </c>
      <c r="AD98">
        <f t="shared" si="94"/>
        <v>0</v>
      </c>
      <c r="AE98">
        <f t="shared" si="94"/>
        <v>0</v>
      </c>
      <c r="AF98" s="138">
        <f t="shared" si="94"/>
        <v>0</v>
      </c>
      <c r="AH98" s="149"/>
      <c r="AI98" s="149" t="s">
        <v>273</v>
      </c>
      <c r="AJ98" s="149">
        <f t="shared" si="95"/>
        <v>0</v>
      </c>
      <c r="AK98" s="149">
        <f t="shared" si="95"/>
        <v>5.6940000000000003E-3</v>
      </c>
      <c r="AL98" s="149">
        <f t="shared" si="95"/>
        <v>1.4161E-2</v>
      </c>
      <c r="AM98" s="149">
        <f t="shared" si="95"/>
        <v>0</v>
      </c>
      <c r="AN98" s="149">
        <f t="shared" si="95"/>
        <v>0</v>
      </c>
      <c r="AO98" s="149">
        <f t="shared" si="95"/>
        <v>2E-3</v>
      </c>
      <c r="AP98" s="149">
        <f t="shared" si="95"/>
        <v>0</v>
      </c>
      <c r="AQ98" s="149">
        <f t="shared" ref="AQ98:AY98" si="98">(J98+J43)/10^6</f>
        <v>0</v>
      </c>
      <c r="AR98" s="149">
        <f t="shared" si="98"/>
        <v>2.487E-2</v>
      </c>
      <c r="AS98" s="149">
        <f t="shared" si="98"/>
        <v>5.6940000000000003E-3</v>
      </c>
      <c r="AT98" s="149">
        <f t="shared" si="98"/>
        <v>8.6599999999999993E-3</v>
      </c>
      <c r="AU98" s="149">
        <f t="shared" si="98"/>
        <v>4.1399999999999996E-3</v>
      </c>
      <c r="AV98" s="149">
        <f t="shared" si="98"/>
        <v>8.92E-4</v>
      </c>
      <c r="AW98" s="149">
        <f t="shared" si="98"/>
        <v>2.7226666666666666E-3</v>
      </c>
      <c r="AX98" s="149">
        <f t="shared" si="98"/>
        <v>2.7226666666666666E-3</v>
      </c>
      <c r="AY98" s="149">
        <f t="shared" si="98"/>
        <v>2.7226666666666666E-3</v>
      </c>
      <c r="BA98" s="149" t="s">
        <v>273</v>
      </c>
      <c r="BB98" s="149">
        <f>(W98+W43)/10^6</f>
        <v>5.4625E-2</v>
      </c>
    </row>
    <row r="99" spans="1:54" x14ac:dyDescent="0.15">
      <c r="B99" s="142" t="s">
        <v>274</v>
      </c>
      <c r="C99">
        <f t="shared" si="90"/>
        <v>5760</v>
      </c>
      <c r="D99">
        <f t="shared" si="90"/>
        <v>0</v>
      </c>
      <c r="E99">
        <f t="shared" si="90"/>
        <v>0</v>
      </c>
      <c r="F99">
        <f t="shared" si="90"/>
        <v>120</v>
      </c>
      <c r="G99">
        <f t="shared" si="90"/>
        <v>0</v>
      </c>
      <c r="H99">
        <f t="shared" si="78"/>
        <v>0</v>
      </c>
      <c r="I99" s="138">
        <f t="shared" si="79"/>
        <v>0</v>
      </c>
      <c r="J99">
        <f t="shared" si="89"/>
        <v>120</v>
      </c>
      <c r="K99">
        <f>K75</f>
        <v>0</v>
      </c>
      <c r="L99" s="138">
        <f>V75</f>
        <v>0</v>
      </c>
      <c r="M99" s="138">
        <f t="shared" si="91"/>
        <v>0</v>
      </c>
      <c r="N99" s="138">
        <f t="shared" si="91"/>
        <v>5760</v>
      </c>
      <c r="O99" s="138">
        <f t="shared" si="91"/>
        <v>0</v>
      </c>
      <c r="P99" s="114">
        <f t="shared" si="97"/>
        <v>0</v>
      </c>
      <c r="Q99" s="114">
        <f t="shared" si="97"/>
        <v>0</v>
      </c>
      <c r="R99" s="114">
        <f t="shared" si="97"/>
        <v>0</v>
      </c>
      <c r="T99" s="138">
        <f t="shared" si="85"/>
        <v>0</v>
      </c>
      <c r="U99">
        <f t="shared" si="58"/>
        <v>11760</v>
      </c>
      <c r="V99" s="138">
        <f t="shared" si="92"/>
        <v>11760</v>
      </c>
      <c r="W99" s="138">
        <f t="shared" si="92"/>
        <v>6000</v>
      </c>
      <c r="X99" s="138">
        <f>T75</f>
        <v>0</v>
      </c>
      <c r="Y99">
        <f>H75</f>
        <v>0</v>
      </c>
      <c r="Z99">
        <f>J75</f>
        <v>0</v>
      </c>
      <c r="AA99">
        <f t="shared" si="93"/>
        <v>0</v>
      </c>
      <c r="AB99">
        <f t="shared" si="93"/>
        <v>0</v>
      </c>
      <c r="AC99">
        <f>U75</f>
        <v>0</v>
      </c>
      <c r="AD99">
        <f t="shared" si="94"/>
        <v>120</v>
      </c>
      <c r="AE99">
        <f t="shared" si="94"/>
        <v>0</v>
      </c>
      <c r="AF99" s="138">
        <f t="shared" si="94"/>
        <v>0</v>
      </c>
      <c r="AH99" s="149"/>
      <c r="AI99" s="149" t="s">
        <v>274</v>
      </c>
      <c r="AJ99" s="149">
        <f t="shared" si="95"/>
        <v>9.8949999999999993E-3</v>
      </c>
      <c r="AK99" s="149">
        <f t="shared" si="95"/>
        <v>0</v>
      </c>
      <c r="AL99" s="149">
        <f t="shared" si="95"/>
        <v>0</v>
      </c>
      <c r="AM99" s="149">
        <f t="shared" si="95"/>
        <v>1.2E-4</v>
      </c>
      <c r="AN99" s="149">
        <f t="shared" si="95"/>
        <v>0</v>
      </c>
      <c r="AO99" s="149">
        <f t="shared" si="95"/>
        <v>0</v>
      </c>
      <c r="AP99" s="149">
        <f t="shared" si="95"/>
        <v>0</v>
      </c>
      <c r="AQ99" s="149">
        <f t="shared" ref="AQ99:AY99" si="99">(J99+J44)/10^6</f>
        <v>1.6200000000000001E-4</v>
      </c>
      <c r="AR99" s="149">
        <f t="shared" si="99"/>
        <v>0</v>
      </c>
      <c r="AS99" s="149">
        <f t="shared" si="99"/>
        <v>0</v>
      </c>
      <c r="AT99" s="149">
        <f t="shared" si="99"/>
        <v>0</v>
      </c>
      <c r="AU99" s="149">
        <f t="shared" si="99"/>
        <v>9.8949999999999993E-3</v>
      </c>
      <c r="AV99" s="149">
        <f t="shared" si="99"/>
        <v>0</v>
      </c>
      <c r="AW99" s="149">
        <f t="shared" si="99"/>
        <v>0</v>
      </c>
      <c r="AX99" s="149">
        <f t="shared" si="99"/>
        <v>0</v>
      </c>
      <c r="AY99" s="149">
        <f t="shared" si="99"/>
        <v>0</v>
      </c>
      <c r="BA99" s="149" t="s">
        <v>274</v>
      </c>
      <c r="BB99" s="149">
        <f>(W99+W44)/10^6</f>
        <v>1.0177E-2</v>
      </c>
    </row>
    <row r="100" spans="1:54" x14ac:dyDescent="0.15">
      <c r="B100" s="142" t="s">
        <v>275</v>
      </c>
      <c r="C100">
        <f t="shared" si="90"/>
        <v>2912</v>
      </c>
      <c r="D100">
        <f t="shared" si="90"/>
        <v>0</v>
      </c>
      <c r="E100">
        <f t="shared" si="90"/>
        <v>0</v>
      </c>
      <c r="F100">
        <f t="shared" si="90"/>
        <v>486</v>
      </c>
      <c r="G100">
        <f t="shared" si="90"/>
        <v>0</v>
      </c>
      <c r="H100">
        <f t="shared" si="78"/>
        <v>605</v>
      </c>
      <c r="I100" s="138">
        <f t="shared" si="79"/>
        <v>466</v>
      </c>
      <c r="J100">
        <f t="shared" si="89"/>
        <v>242</v>
      </c>
      <c r="K100">
        <f>K76</f>
        <v>2062</v>
      </c>
      <c r="L100" s="138">
        <f>V76</f>
        <v>0</v>
      </c>
      <c r="M100" s="138">
        <f t="shared" si="91"/>
        <v>699</v>
      </c>
      <c r="N100" s="138">
        <f t="shared" si="91"/>
        <v>758</v>
      </c>
      <c r="O100" s="138">
        <f t="shared" si="91"/>
        <v>0</v>
      </c>
      <c r="P100" s="114">
        <f t="shared" si="97"/>
        <v>573</v>
      </c>
      <c r="Q100" s="114">
        <f t="shared" si="97"/>
        <v>573</v>
      </c>
      <c r="R100" s="114">
        <f t="shared" si="97"/>
        <v>573</v>
      </c>
      <c r="T100" s="138">
        <f t="shared" si="85"/>
        <v>1719</v>
      </c>
      <c r="U100">
        <f t="shared" si="58"/>
        <v>9949</v>
      </c>
      <c r="V100" s="138">
        <f t="shared" si="92"/>
        <v>10435</v>
      </c>
      <c r="W100" s="138">
        <f t="shared" si="92"/>
        <v>7523</v>
      </c>
      <c r="X100" s="138">
        <f>T76</f>
        <v>991</v>
      </c>
      <c r="Y100">
        <f>H76</f>
        <v>0</v>
      </c>
      <c r="Z100">
        <f>J76</f>
        <v>728</v>
      </c>
      <c r="AA100">
        <f t="shared" si="93"/>
        <v>242</v>
      </c>
      <c r="AB100">
        <f t="shared" si="93"/>
        <v>363</v>
      </c>
      <c r="AC100">
        <f>U76</f>
        <v>466</v>
      </c>
      <c r="AD100">
        <f t="shared" si="94"/>
        <v>242</v>
      </c>
      <c r="AE100">
        <f t="shared" si="94"/>
        <v>0</v>
      </c>
      <c r="AF100" s="138">
        <f t="shared" si="94"/>
        <v>0</v>
      </c>
      <c r="AH100" s="149"/>
      <c r="AI100" s="149" t="s">
        <v>275</v>
      </c>
      <c r="AJ100" s="149">
        <f t="shared" si="95"/>
        <v>1.1464E-2</v>
      </c>
      <c r="AK100" s="149">
        <f t="shared" si="95"/>
        <v>0</v>
      </c>
      <c r="AL100" s="149">
        <f t="shared" si="95"/>
        <v>0</v>
      </c>
      <c r="AM100" s="149">
        <f t="shared" si="95"/>
        <v>1.9120000000000001E-3</v>
      </c>
      <c r="AN100" s="149">
        <f t="shared" si="95"/>
        <v>0</v>
      </c>
      <c r="AO100" s="149">
        <f t="shared" si="95"/>
        <v>2.3869999999999998E-3</v>
      </c>
      <c r="AP100" s="149">
        <f t="shared" si="95"/>
        <v>1.8339999999999999E-3</v>
      </c>
      <c r="AQ100" s="149">
        <f t="shared" ref="AQ100:AY100" si="100">(J100+J45)/10^6</f>
        <v>9.5500000000000001E-4</v>
      </c>
      <c r="AR100" s="149">
        <f t="shared" si="100"/>
        <v>8.1169999999999992E-3</v>
      </c>
      <c r="AS100" s="149">
        <f t="shared" si="100"/>
        <v>0</v>
      </c>
      <c r="AT100" s="149">
        <f t="shared" si="100"/>
        <v>2.7520000000000001E-3</v>
      </c>
      <c r="AU100" s="149">
        <f t="shared" si="100"/>
        <v>1.7282184105202973E-3</v>
      </c>
      <c r="AV100" s="149">
        <f t="shared" si="100"/>
        <v>0</v>
      </c>
      <c r="AW100" s="149">
        <f t="shared" si="100"/>
        <v>2.7299999999999998E-3</v>
      </c>
      <c r="AX100" s="149">
        <f t="shared" si="100"/>
        <v>2.7299999999999998E-3</v>
      </c>
      <c r="AY100" s="149">
        <f t="shared" si="100"/>
        <v>2.7299999999999998E-3</v>
      </c>
      <c r="BA100" s="149" t="s">
        <v>275</v>
      </c>
      <c r="BB100" s="149">
        <f>(W100+W45)/10^6</f>
        <v>2.9614999999999999E-2</v>
      </c>
    </row>
    <row r="101" spans="1:54" x14ac:dyDescent="0.15">
      <c r="B101" s="142" t="s">
        <v>309</v>
      </c>
      <c r="C101">
        <f t="shared" si="90"/>
        <v>1418</v>
      </c>
      <c r="D101">
        <f t="shared" si="90"/>
        <v>0</v>
      </c>
      <c r="E101">
        <f t="shared" si="90"/>
        <v>0</v>
      </c>
      <c r="F101">
        <f t="shared" si="90"/>
        <v>236</v>
      </c>
      <c r="G101">
        <f t="shared" si="90"/>
        <v>0</v>
      </c>
      <c r="H101">
        <f t="shared" si="78"/>
        <v>295</v>
      </c>
      <c r="I101" s="138">
        <f t="shared" si="79"/>
        <v>227</v>
      </c>
      <c r="J101">
        <f t="shared" si="89"/>
        <v>118</v>
      </c>
      <c r="K101">
        <f>K77</f>
        <v>1004</v>
      </c>
      <c r="L101" s="138">
        <f>V77</f>
        <v>0</v>
      </c>
      <c r="M101" s="138">
        <f t="shared" si="91"/>
        <v>340</v>
      </c>
      <c r="N101" s="138">
        <f t="shared" si="91"/>
        <v>368</v>
      </c>
      <c r="O101" s="138">
        <f t="shared" si="91"/>
        <v>0</v>
      </c>
      <c r="P101" s="114">
        <f t="shared" si="97"/>
        <v>357.33333333333331</v>
      </c>
      <c r="Q101" s="114">
        <f t="shared" si="97"/>
        <v>357.33333333333331</v>
      </c>
      <c r="R101" s="114">
        <f t="shared" si="97"/>
        <v>357.33333333333331</v>
      </c>
      <c r="T101" s="138">
        <f t="shared" si="85"/>
        <v>1072</v>
      </c>
      <c r="U101">
        <f t="shared" si="58"/>
        <v>5077.9999999999991</v>
      </c>
      <c r="V101" s="138">
        <f t="shared" si="92"/>
        <v>5081</v>
      </c>
      <c r="W101" s="138">
        <f t="shared" si="92"/>
        <v>3663</v>
      </c>
      <c r="X101" s="138">
        <f>T77</f>
        <v>482</v>
      </c>
      <c r="Y101">
        <f>H77</f>
        <v>0</v>
      </c>
      <c r="Z101">
        <f>J77</f>
        <v>354</v>
      </c>
      <c r="AA101">
        <f t="shared" si="93"/>
        <v>118</v>
      </c>
      <c r="AB101">
        <f t="shared" si="93"/>
        <v>177</v>
      </c>
      <c r="AC101">
        <f>U77</f>
        <v>227</v>
      </c>
      <c r="AD101">
        <f t="shared" si="94"/>
        <v>118</v>
      </c>
      <c r="AE101">
        <f t="shared" si="94"/>
        <v>0</v>
      </c>
      <c r="AF101" s="138">
        <f t="shared" si="94"/>
        <v>236</v>
      </c>
      <c r="AH101" s="149"/>
      <c r="AI101" s="149" t="s">
        <v>309</v>
      </c>
      <c r="AJ101" s="149">
        <f t="shared" si="95"/>
        <v>6.3160000000000004E-3</v>
      </c>
      <c r="AK101" s="149">
        <f t="shared" si="95"/>
        <v>0</v>
      </c>
      <c r="AL101" s="149">
        <f t="shared" si="95"/>
        <v>0</v>
      </c>
      <c r="AM101" s="149">
        <f t="shared" si="95"/>
        <v>1.0529999999999999E-3</v>
      </c>
      <c r="AN101" s="149">
        <f t="shared" si="95"/>
        <v>0</v>
      </c>
      <c r="AO101" s="149">
        <f t="shared" si="95"/>
        <v>1.3159999999999999E-3</v>
      </c>
      <c r="AP101" s="149">
        <f t="shared" si="95"/>
        <v>1.011E-3</v>
      </c>
      <c r="AQ101" s="149">
        <f t="shared" ref="AQ101:AY101" si="101">(J101+J46)/10^6</f>
        <v>5.2599999999999999E-4</v>
      </c>
      <c r="AR101" s="149">
        <f t="shared" si="101"/>
        <v>4.4720000000000003E-3</v>
      </c>
      <c r="AS101" s="149">
        <f t="shared" si="101"/>
        <v>0</v>
      </c>
      <c r="AT101" s="149">
        <f t="shared" si="101"/>
        <v>1.516E-3</v>
      </c>
      <c r="AU101" s="149">
        <f t="shared" si="101"/>
        <v>9.2378158947970272E-4</v>
      </c>
      <c r="AV101" s="149">
        <f t="shared" si="101"/>
        <v>0</v>
      </c>
      <c r="AW101" s="149">
        <f t="shared" si="101"/>
        <v>1.5926666666666665E-3</v>
      </c>
      <c r="AX101" s="149">
        <f t="shared" si="101"/>
        <v>1.5926666666666665E-3</v>
      </c>
      <c r="AY101" s="149">
        <f t="shared" si="101"/>
        <v>1.5926666666666665E-3</v>
      </c>
      <c r="BA101" s="149" t="s">
        <v>309</v>
      </c>
      <c r="BB101" s="149">
        <f>(W101+W46)/10^6</f>
        <v>1.6316000000000001E-2</v>
      </c>
    </row>
    <row r="102" spans="1:54" x14ac:dyDescent="0.15">
      <c r="B102" s="121" t="s">
        <v>221</v>
      </c>
      <c r="C102" s="155">
        <f t="shared" ref="C102:R102" si="102">SUM(C83:C101)</f>
        <v>72926</v>
      </c>
      <c r="D102" s="155">
        <f t="shared" si="102"/>
        <v>43405</v>
      </c>
      <c r="E102" s="155">
        <f t="shared" si="102"/>
        <v>25145</v>
      </c>
      <c r="F102" s="155">
        <f t="shared" si="102"/>
        <v>21679</v>
      </c>
      <c r="G102" s="155">
        <f t="shared" si="102"/>
        <v>5252</v>
      </c>
      <c r="H102" s="155">
        <f>SUM(H83:H101)</f>
        <v>10719</v>
      </c>
      <c r="I102" s="155">
        <f>SUM(I83:I101)</f>
        <v>10596</v>
      </c>
      <c r="J102" s="155">
        <f t="shared" si="102"/>
        <v>10352</v>
      </c>
      <c r="K102" s="155">
        <f t="shared" si="102"/>
        <v>110160</v>
      </c>
      <c r="L102" s="155">
        <f t="shared" si="102"/>
        <v>38005</v>
      </c>
      <c r="M102" s="155">
        <f t="shared" si="102"/>
        <v>41994</v>
      </c>
      <c r="N102" s="155">
        <f t="shared" si="102"/>
        <v>28717</v>
      </c>
      <c r="O102" s="155">
        <f t="shared" si="102"/>
        <v>4951</v>
      </c>
      <c r="P102" s="155">
        <f t="shared" si="102"/>
        <v>17903</v>
      </c>
      <c r="Q102" s="155">
        <f t="shared" si="102"/>
        <v>17903</v>
      </c>
      <c r="R102" s="155">
        <f t="shared" si="102"/>
        <v>17903</v>
      </c>
      <c r="T102" s="121">
        <f t="shared" si="85"/>
        <v>42918</v>
      </c>
      <c r="U102" s="155">
        <f t="shared" si="58"/>
        <v>477610</v>
      </c>
      <c r="V102" s="155">
        <f>SUM(V83:V101)</f>
        <v>514641</v>
      </c>
      <c r="W102" s="155">
        <f>SUM(W83:W101)</f>
        <v>336202</v>
      </c>
      <c r="X102" s="121">
        <f t="shared" ref="X102:AF102" si="103">SUM(X83:X96)</f>
        <v>19641</v>
      </c>
      <c r="Y102" s="121">
        <f t="shared" si="103"/>
        <v>86</v>
      </c>
      <c r="Z102" s="121">
        <f t="shared" si="103"/>
        <v>13269</v>
      </c>
      <c r="AA102" s="121">
        <f t="shared" si="103"/>
        <v>3524</v>
      </c>
      <c r="AB102" s="121">
        <f t="shared" si="103"/>
        <v>6295</v>
      </c>
      <c r="AC102" s="121">
        <f t="shared" si="103"/>
        <v>9903</v>
      </c>
      <c r="AD102" s="121">
        <f t="shared" si="103"/>
        <v>6862</v>
      </c>
      <c r="AE102" s="121">
        <f t="shared" si="103"/>
        <v>10</v>
      </c>
      <c r="AF102" s="121">
        <f t="shared" si="103"/>
        <v>9922</v>
      </c>
    </row>
    <row r="103" spans="1:54" x14ac:dyDescent="0.15">
      <c r="B103" s="142" t="s">
        <v>7</v>
      </c>
      <c r="C103" s="115">
        <f>C102/$U$102</f>
        <v>0.15268943280082076</v>
      </c>
      <c r="D103" s="115">
        <f t="shared" ref="D103:R103" si="104">D102/$U$102</f>
        <v>9.087958794832604E-2</v>
      </c>
      <c r="E103" s="115">
        <f t="shared" si="104"/>
        <v>5.2647557630702876E-2</v>
      </c>
      <c r="F103" s="115">
        <f t="shared" si="104"/>
        <v>4.5390590649274511E-2</v>
      </c>
      <c r="G103" s="115">
        <f t="shared" si="104"/>
        <v>1.0996419672954921E-2</v>
      </c>
      <c r="H103" s="115">
        <f t="shared" si="104"/>
        <v>2.2442997424677039E-2</v>
      </c>
      <c r="I103" s="115">
        <f t="shared" si="104"/>
        <v>2.2185465128452084E-2</v>
      </c>
      <c r="J103" s="115">
        <f t="shared" si="104"/>
        <v>2.1674588053013966E-2</v>
      </c>
      <c r="K103" s="115">
        <f t="shared" si="104"/>
        <v>0.23064843700927534</v>
      </c>
      <c r="L103" s="115">
        <f t="shared" si="104"/>
        <v>7.957329201649882E-2</v>
      </c>
      <c r="M103" s="115">
        <f t="shared" si="104"/>
        <v>8.7925294696509698E-2</v>
      </c>
      <c r="N103" s="115">
        <f t="shared" si="104"/>
        <v>6.0126463013755994E-2</v>
      </c>
      <c r="O103" s="115">
        <f t="shared" si="104"/>
        <v>1.0366198362680849E-2</v>
      </c>
      <c r="P103" s="115">
        <f t="shared" si="104"/>
        <v>3.7484558531019035E-2</v>
      </c>
      <c r="Q103" s="115">
        <f t="shared" si="104"/>
        <v>3.7484558531019035E-2</v>
      </c>
      <c r="R103" s="115">
        <f t="shared" si="104"/>
        <v>3.7484558531019035E-2</v>
      </c>
      <c r="BA103" s="36" t="s">
        <v>250</v>
      </c>
    </row>
    <row r="104" spans="1:54" x14ac:dyDescent="0.15">
      <c r="B104" s="37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BA104" s="36"/>
    </row>
    <row r="105" spans="1:54" x14ac:dyDescent="0.15">
      <c r="BA105" s="157" t="s">
        <v>221</v>
      </c>
      <c r="BB105" s="156" t="s">
        <v>210</v>
      </c>
    </row>
    <row r="106" spans="1:54" x14ac:dyDescent="0.15">
      <c r="A106" s="152" t="s">
        <v>245</v>
      </c>
      <c r="B106" s="153"/>
      <c r="C106" s="153"/>
      <c r="D106" s="154"/>
      <c r="E106" s="154"/>
      <c r="F106" s="154"/>
      <c r="G106" s="153"/>
      <c r="H106" s="153"/>
      <c r="I106" s="153"/>
      <c r="J106" s="153"/>
      <c r="K106" s="154"/>
      <c r="L106" s="154"/>
      <c r="M106" s="153"/>
      <c r="N106" s="153"/>
      <c r="BA106" s="149" t="s">
        <v>93</v>
      </c>
      <c r="BB106" s="114">
        <f>(BB83-BB28)*1000</f>
        <v>6.3</v>
      </c>
    </row>
    <row r="107" spans="1:54" x14ac:dyDescent="0.15">
      <c r="BA107" s="149" t="s">
        <v>92</v>
      </c>
      <c r="BB107" s="114">
        <f t="shared" ref="BB107:BB124" si="105">(BB84-BB29)*1000</f>
        <v>4.9999999999999991</v>
      </c>
    </row>
    <row r="108" spans="1:54" x14ac:dyDescent="0.15">
      <c r="BA108" s="149" t="s">
        <v>91</v>
      </c>
      <c r="BB108" s="114">
        <f t="shared" si="105"/>
        <v>0.5</v>
      </c>
    </row>
    <row r="109" spans="1:54" x14ac:dyDescent="0.15">
      <c r="C109" t="s">
        <v>233</v>
      </c>
      <c r="D109" t="s">
        <v>234</v>
      </c>
      <c r="E109" t="s">
        <v>235</v>
      </c>
      <c r="F109" t="s">
        <v>101</v>
      </c>
      <c r="G109" t="s">
        <v>155</v>
      </c>
      <c r="H109" t="s">
        <v>236</v>
      </c>
      <c r="J109" t="s">
        <v>222</v>
      </c>
      <c r="K109" t="s">
        <v>102</v>
      </c>
      <c r="L109" t="s">
        <v>223</v>
      </c>
      <c r="M109" t="s">
        <v>224</v>
      </c>
      <c r="N109" t="s">
        <v>225</v>
      </c>
      <c r="O109" t="s">
        <v>226</v>
      </c>
      <c r="P109" t="s">
        <v>227</v>
      </c>
      <c r="Q109" t="s">
        <v>194</v>
      </c>
      <c r="R109" t="s">
        <v>103</v>
      </c>
      <c r="S109" t="s">
        <v>154</v>
      </c>
      <c r="T109" t="s">
        <v>228</v>
      </c>
      <c r="U109" t="s">
        <v>229</v>
      </c>
      <c r="V109" t="s">
        <v>195</v>
      </c>
      <c r="W109" t="s">
        <v>230</v>
      </c>
      <c r="X109" t="s">
        <v>231</v>
      </c>
      <c r="BA109" s="149" t="s">
        <v>90</v>
      </c>
      <c r="BB109" s="114">
        <f t="shared" si="105"/>
        <v>5</v>
      </c>
    </row>
    <row r="110" spans="1:54" x14ac:dyDescent="0.15">
      <c r="A110" t="s">
        <v>81</v>
      </c>
      <c r="C110" s="138">
        <v>3897</v>
      </c>
      <c r="D110">
        <v>0</v>
      </c>
      <c r="E110">
        <v>0</v>
      </c>
      <c r="F110" s="138">
        <v>1817</v>
      </c>
      <c r="G110">
        <v>0</v>
      </c>
      <c r="H110">
        <v>0</v>
      </c>
      <c r="J110" s="138">
        <v>1300</v>
      </c>
      <c r="K110">
        <v>0</v>
      </c>
      <c r="L110">
        <v>0</v>
      </c>
      <c r="M110">
        <v>0</v>
      </c>
      <c r="N110">
        <v>649</v>
      </c>
      <c r="O110">
        <v>0</v>
      </c>
      <c r="P110" s="138">
        <v>2337</v>
      </c>
      <c r="Q110" s="138">
        <v>2533</v>
      </c>
      <c r="R110">
        <v>0</v>
      </c>
      <c r="S110">
        <v>0</v>
      </c>
      <c r="T110">
        <v>0</v>
      </c>
      <c r="U110" s="138">
        <v>1364</v>
      </c>
      <c r="V110">
        <v>0</v>
      </c>
      <c r="W110" s="138">
        <v>17014</v>
      </c>
      <c r="X110" s="138">
        <v>10000</v>
      </c>
      <c r="BA110" s="149" t="s">
        <v>89</v>
      </c>
      <c r="BB110" s="114">
        <f t="shared" si="105"/>
        <v>7.008</v>
      </c>
    </row>
    <row r="111" spans="1:54" x14ac:dyDescent="0.15">
      <c r="A111" t="s">
        <v>80</v>
      </c>
      <c r="C111">
        <v>0</v>
      </c>
      <c r="D111" s="138">
        <v>5000</v>
      </c>
      <c r="E111">
        <v>0</v>
      </c>
      <c r="F111" s="138">
        <v>2500</v>
      </c>
      <c r="G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 s="138">
        <v>2500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38">
        <v>12500</v>
      </c>
      <c r="X111" s="138">
        <v>10000</v>
      </c>
      <c r="BA111" s="149" t="s">
        <v>88</v>
      </c>
      <c r="BB111" s="114">
        <f t="shared" si="105"/>
        <v>0.30000000000000004</v>
      </c>
    </row>
    <row r="112" spans="1:54" x14ac:dyDescent="0.15">
      <c r="A112" t="s">
        <v>218</v>
      </c>
      <c r="C112">
        <v>0</v>
      </c>
      <c r="D112" s="138">
        <v>5000</v>
      </c>
      <c r="E112">
        <v>0</v>
      </c>
      <c r="F112" s="138">
        <v>2500</v>
      </c>
      <c r="G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 s="138">
        <v>2500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38">
        <v>12500</v>
      </c>
      <c r="X112" s="138">
        <v>10000</v>
      </c>
      <c r="BA112" s="149" t="s">
        <v>87</v>
      </c>
      <c r="BB112" s="114">
        <f t="shared" si="105"/>
        <v>7.6099999999999985</v>
      </c>
    </row>
    <row r="113" spans="1:54" x14ac:dyDescent="0.15">
      <c r="A113" t="s">
        <v>78</v>
      </c>
      <c r="C113">
        <v>0</v>
      </c>
      <c r="D113" s="138">
        <v>5000</v>
      </c>
      <c r="E113">
        <v>0</v>
      </c>
      <c r="F113" s="138">
        <v>2500</v>
      </c>
      <c r="G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 s="138">
        <v>2500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38">
        <v>12500</v>
      </c>
      <c r="X113" s="138">
        <v>10000</v>
      </c>
      <c r="BA113" s="149" t="s">
        <v>86</v>
      </c>
      <c r="BB113" s="114">
        <f t="shared" si="105"/>
        <v>105.79200000000002</v>
      </c>
    </row>
    <row r="114" spans="1:54" x14ac:dyDescent="0.15">
      <c r="A114" t="s">
        <v>219</v>
      </c>
      <c r="C114" s="138">
        <v>2287</v>
      </c>
      <c r="D114">
        <v>0</v>
      </c>
      <c r="E114">
        <v>0</v>
      </c>
      <c r="F114" s="138">
        <v>5424</v>
      </c>
      <c r="G114">
        <v>0</v>
      </c>
      <c r="H114">
        <v>0</v>
      </c>
      <c r="J114">
        <v>1</v>
      </c>
      <c r="K114">
        <v>0</v>
      </c>
      <c r="L114">
        <v>0</v>
      </c>
      <c r="M114">
        <v>0</v>
      </c>
      <c r="N114" s="138">
        <v>2285</v>
      </c>
      <c r="O114">
        <v>0</v>
      </c>
      <c r="P114">
        <v>3</v>
      </c>
      <c r="Q114" s="138">
        <v>1487</v>
      </c>
      <c r="R114">
        <v>0</v>
      </c>
      <c r="S114">
        <v>0</v>
      </c>
      <c r="T114">
        <v>0</v>
      </c>
      <c r="U114">
        <v>801</v>
      </c>
      <c r="V114">
        <v>0</v>
      </c>
      <c r="W114" s="138">
        <v>17713</v>
      </c>
      <c r="X114" s="138">
        <v>10000</v>
      </c>
      <c r="BA114" s="149" t="s">
        <v>85</v>
      </c>
      <c r="BB114" s="114">
        <f t="shared" si="105"/>
        <v>6.1300000000000017</v>
      </c>
    </row>
    <row r="115" spans="1:54" x14ac:dyDescent="0.15">
      <c r="A115" t="s">
        <v>216</v>
      </c>
      <c r="C115">
        <v>0</v>
      </c>
      <c r="D115">
        <v>0</v>
      </c>
      <c r="E115">
        <v>0</v>
      </c>
      <c r="F115" s="138">
        <v>3000</v>
      </c>
      <c r="G115">
        <v>0</v>
      </c>
      <c r="H115">
        <v>0</v>
      </c>
      <c r="J115">
        <v>0</v>
      </c>
      <c r="K115" s="138">
        <v>12000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38">
        <v>18000</v>
      </c>
      <c r="X115" s="138">
        <v>15000</v>
      </c>
      <c r="BA115" s="149" t="s">
        <v>84</v>
      </c>
      <c r="BB115" s="114">
        <f t="shared" si="105"/>
        <v>5.86</v>
      </c>
    </row>
    <row r="116" spans="1:54" x14ac:dyDescent="0.15">
      <c r="A116" t="s">
        <v>220</v>
      </c>
      <c r="C116" s="138">
        <v>12000</v>
      </c>
      <c r="D116">
        <v>0</v>
      </c>
      <c r="E116">
        <v>0</v>
      </c>
      <c r="F116">
        <v>250</v>
      </c>
      <c r="G116">
        <v>0</v>
      </c>
      <c r="H116">
        <v>150</v>
      </c>
      <c r="J116">
        <v>0</v>
      </c>
      <c r="K116" s="138">
        <v>12350</v>
      </c>
      <c r="L116">
        <v>0</v>
      </c>
      <c r="M116">
        <v>0</v>
      </c>
      <c r="N116">
        <v>250</v>
      </c>
      <c r="O116">
        <v>0</v>
      </c>
      <c r="P116">
        <v>0</v>
      </c>
      <c r="Q116">
        <v>0</v>
      </c>
      <c r="R116" s="138">
        <v>12000</v>
      </c>
      <c r="S116">
        <v>0</v>
      </c>
      <c r="T116">
        <v>150</v>
      </c>
      <c r="U116">
        <v>0</v>
      </c>
      <c r="V116">
        <v>0</v>
      </c>
      <c r="W116" s="138">
        <v>37400</v>
      </c>
      <c r="X116" s="138">
        <v>25000</v>
      </c>
      <c r="BA116" s="149" t="s">
        <v>131</v>
      </c>
      <c r="BB116" s="114">
        <f t="shared" si="105"/>
        <v>11.6</v>
      </c>
    </row>
    <row r="117" spans="1:54" x14ac:dyDescent="0.15">
      <c r="A117" t="s">
        <v>75</v>
      </c>
      <c r="C117" s="138">
        <v>167095</v>
      </c>
      <c r="D117">
        <v>0</v>
      </c>
      <c r="E117" s="138">
        <v>5000</v>
      </c>
      <c r="F117" s="138">
        <v>55095</v>
      </c>
      <c r="G117">
        <v>0</v>
      </c>
      <c r="H117">
        <v>0</v>
      </c>
      <c r="J117" s="138">
        <v>48916</v>
      </c>
      <c r="K117" s="138">
        <v>57559</v>
      </c>
      <c r="L117" s="138">
        <v>6777</v>
      </c>
      <c r="M117" s="138">
        <v>10166</v>
      </c>
      <c r="N117" s="138">
        <v>23857</v>
      </c>
      <c r="O117">
        <v>0</v>
      </c>
      <c r="P117" s="138">
        <v>65035</v>
      </c>
      <c r="Q117" s="138">
        <v>80281</v>
      </c>
      <c r="R117" s="138">
        <v>23137</v>
      </c>
      <c r="S117" s="138">
        <v>2300</v>
      </c>
      <c r="T117" s="138">
        <v>27640</v>
      </c>
      <c r="U117" s="138">
        <v>43037</v>
      </c>
      <c r="V117">
        <v>0</v>
      </c>
      <c r="W117" s="138">
        <v>719906</v>
      </c>
      <c r="X117" s="138">
        <v>443800</v>
      </c>
      <c r="BA117" s="149" t="s">
        <v>132</v>
      </c>
      <c r="BB117" s="114">
        <f t="shared" si="105"/>
        <v>10.285999999999998</v>
      </c>
    </row>
    <row r="118" spans="1:54" x14ac:dyDescent="0.15">
      <c r="A118" t="s">
        <v>74</v>
      </c>
      <c r="C118" s="138">
        <v>15408</v>
      </c>
      <c r="D118">
        <v>0</v>
      </c>
      <c r="E118">
        <v>0</v>
      </c>
      <c r="F118" s="138">
        <v>3125</v>
      </c>
      <c r="G118">
        <v>833</v>
      </c>
      <c r="H118">
        <v>0</v>
      </c>
      <c r="J118">
        <v>591</v>
      </c>
      <c r="K118">
        <v>0</v>
      </c>
      <c r="L118">
        <v>0</v>
      </c>
      <c r="M118">
        <v>0</v>
      </c>
      <c r="N118" s="138">
        <v>2888</v>
      </c>
      <c r="O118">
        <v>0</v>
      </c>
      <c r="P118" s="138">
        <v>2155</v>
      </c>
      <c r="Q118" s="138">
        <v>10197</v>
      </c>
      <c r="R118">
        <v>0</v>
      </c>
      <c r="S118">
        <v>0</v>
      </c>
      <c r="T118">
        <v>0</v>
      </c>
      <c r="U118" s="138">
        <v>6044</v>
      </c>
      <c r="V118">
        <v>0</v>
      </c>
      <c r="W118" s="138">
        <v>44957</v>
      </c>
      <c r="X118" s="138">
        <v>25000</v>
      </c>
      <c r="BA118" s="149" t="s">
        <v>83</v>
      </c>
      <c r="BB118" s="114">
        <f t="shared" si="105"/>
        <v>19.149999999999999</v>
      </c>
    </row>
    <row r="119" spans="1:54" x14ac:dyDescent="0.15">
      <c r="A119" t="s">
        <v>73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BA119" s="149" t="s">
        <v>82</v>
      </c>
      <c r="BB119" s="114">
        <f t="shared" si="105"/>
        <v>77.054999999999993</v>
      </c>
    </row>
    <row r="120" spans="1:54" x14ac:dyDescent="0.15">
      <c r="A120" t="s">
        <v>72</v>
      </c>
      <c r="C120">
        <v>0</v>
      </c>
      <c r="D120" s="138">
        <v>69303</v>
      </c>
      <c r="E120" s="138">
        <v>119906</v>
      </c>
      <c r="F120" s="138">
        <v>22649</v>
      </c>
      <c r="G120" s="138">
        <v>14015</v>
      </c>
      <c r="H120" s="138">
        <v>18481</v>
      </c>
      <c r="I120" s="138"/>
      <c r="J120" s="138">
        <v>28757</v>
      </c>
      <c r="K120" s="138">
        <v>76631</v>
      </c>
      <c r="L120">
        <v>259</v>
      </c>
      <c r="M120">
        <v>0</v>
      </c>
      <c r="N120">
        <v>0</v>
      </c>
      <c r="O120">
        <v>0</v>
      </c>
      <c r="P120">
        <v>0</v>
      </c>
      <c r="Q120" s="138">
        <v>70545</v>
      </c>
      <c r="R120" s="138">
        <v>27690</v>
      </c>
      <c r="S120" s="138">
        <v>10162</v>
      </c>
      <c r="T120" s="138">
        <v>25523</v>
      </c>
      <c r="U120">
        <v>0</v>
      </c>
      <c r="V120" s="138">
        <v>69303</v>
      </c>
      <c r="W120" s="138">
        <v>604630</v>
      </c>
      <c r="X120" s="138">
        <v>350000</v>
      </c>
      <c r="BA120" s="149" t="s">
        <v>272</v>
      </c>
      <c r="BB120" s="114">
        <f t="shared" si="105"/>
        <v>13.799999999999999</v>
      </c>
    </row>
    <row r="121" spans="1:54" x14ac:dyDescent="0.15">
      <c r="A121" t="s">
        <v>71</v>
      </c>
      <c r="C121" s="138">
        <v>100000</v>
      </c>
      <c r="D121">
        <v>0</v>
      </c>
      <c r="E121">
        <v>0</v>
      </c>
      <c r="F121" s="138">
        <v>50000</v>
      </c>
      <c r="G121" s="138">
        <v>50000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38">
        <v>75000</v>
      </c>
      <c r="R121" s="138">
        <v>27000</v>
      </c>
      <c r="S121" s="138">
        <v>12000</v>
      </c>
      <c r="T121" s="138">
        <v>36000</v>
      </c>
      <c r="U121">
        <v>0</v>
      </c>
      <c r="V121">
        <v>0</v>
      </c>
      <c r="W121" s="138">
        <v>400000</v>
      </c>
      <c r="X121" s="138">
        <v>200000</v>
      </c>
      <c r="BA121" s="149" t="s">
        <v>273</v>
      </c>
      <c r="BB121" s="114">
        <f t="shared" si="105"/>
        <v>37.625</v>
      </c>
    </row>
    <row r="122" spans="1:54" x14ac:dyDescent="0.15">
      <c r="A122" t="s">
        <v>217</v>
      </c>
      <c r="C122">
        <v>0</v>
      </c>
      <c r="D122" s="138">
        <v>25000</v>
      </c>
      <c r="E122">
        <v>0</v>
      </c>
      <c r="F122">
        <v>0</v>
      </c>
      <c r="G122">
        <v>0</v>
      </c>
      <c r="H122">
        <v>0</v>
      </c>
      <c r="J122">
        <v>0</v>
      </c>
      <c r="K122" s="138">
        <v>75000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38">
        <v>25000</v>
      </c>
      <c r="W122" s="138">
        <v>125000</v>
      </c>
      <c r="X122" s="138">
        <v>100000</v>
      </c>
      <c r="BA122" s="149" t="s">
        <v>274</v>
      </c>
      <c r="BB122" s="114">
        <f t="shared" si="105"/>
        <v>6</v>
      </c>
    </row>
    <row r="123" spans="1:54" x14ac:dyDescent="0.15">
      <c r="A123" s="121" t="s">
        <v>221</v>
      </c>
      <c r="C123" s="155">
        <v>300687</v>
      </c>
      <c r="D123" s="155">
        <v>109303</v>
      </c>
      <c r="E123" s="155">
        <v>124906</v>
      </c>
      <c r="F123" s="155">
        <v>148859</v>
      </c>
      <c r="G123" s="155">
        <v>64848</v>
      </c>
      <c r="H123" s="155">
        <v>18631</v>
      </c>
      <c r="I123" s="155"/>
      <c r="J123" s="155">
        <v>79566</v>
      </c>
      <c r="K123" s="155">
        <v>233540</v>
      </c>
      <c r="L123" s="155">
        <v>7036</v>
      </c>
      <c r="M123" s="155">
        <v>10166</v>
      </c>
      <c r="N123" s="155">
        <v>37429</v>
      </c>
      <c r="O123" s="121">
        <v>0</v>
      </c>
      <c r="P123" s="155">
        <v>69528</v>
      </c>
      <c r="Q123" s="155">
        <v>240043</v>
      </c>
      <c r="R123" s="155">
        <v>89827</v>
      </c>
      <c r="S123" s="155">
        <v>24462</v>
      </c>
      <c r="T123" s="155">
        <v>89314</v>
      </c>
      <c r="U123" s="155">
        <v>51246</v>
      </c>
      <c r="V123" s="155">
        <v>94303</v>
      </c>
      <c r="W123" s="155">
        <v>2022120</v>
      </c>
      <c r="X123" s="155">
        <v>1208800</v>
      </c>
      <c r="BA123" s="149" t="s">
        <v>275</v>
      </c>
      <c r="BB123" s="114">
        <f t="shared" si="105"/>
        <v>7.5229999999999988</v>
      </c>
    </row>
    <row r="124" spans="1:54" x14ac:dyDescent="0.15">
      <c r="A124" t="s">
        <v>133</v>
      </c>
      <c r="C124">
        <v>0</v>
      </c>
      <c r="D124" s="138">
        <v>42280</v>
      </c>
      <c r="E124" s="138">
        <v>4974</v>
      </c>
      <c r="F124" s="138">
        <v>2487</v>
      </c>
      <c r="G124">
        <v>0</v>
      </c>
      <c r="H124">
        <v>0</v>
      </c>
      <c r="J124">
        <v>0</v>
      </c>
      <c r="K124">
        <v>0</v>
      </c>
      <c r="L124">
        <v>259</v>
      </c>
      <c r="M124">
        <v>0</v>
      </c>
      <c r="N124">
        <v>0</v>
      </c>
      <c r="O124">
        <v>0</v>
      </c>
      <c r="P124">
        <v>0</v>
      </c>
      <c r="Q124" s="138">
        <v>2487</v>
      </c>
      <c r="R124">
        <v>895</v>
      </c>
      <c r="S124">
        <v>398</v>
      </c>
      <c r="T124" s="138">
        <v>1194</v>
      </c>
      <c r="U124">
        <v>0</v>
      </c>
      <c r="V124" s="138">
        <v>42280</v>
      </c>
      <c r="W124" s="138">
        <v>99741</v>
      </c>
      <c r="X124" s="138">
        <v>50000</v>
      </c>
      <c r="BA124" s="149" t="s">
        <v>309</v>
      </c>
      <c r="BB124" s="114">
        <f t="shared" si="105"/>
        <v>3.6630000000000011</v>
      </c>
    </row>
    <row r="125" spans="1:54" x14ac:dyDescent="0.15">
      <c r="D125" s="138"/>
      <c r="E125" s="138"/>
      <c r="F125" s="138"/>
      <c r="Q125" s="138"/>
      <c r="T125" s="138"/>
      <c r="V125" s="138"/>
      <c r="W125" s="138"/>
      <c r="X125" s="138"/>
    </row>
    <row r="126" spans="1:54" x14ac:dyDescent="0.15">
      <c r="C126" t="s">
        <v>279</v>
      </c>
      <c r="F126">
        <f>W98/(W94+W98)</f>
        <v>0.78531026277890259</v>
      </c>
    </row>
    <row r="127" spans="1:54" x14ac:dyDescent="0.15">
      <c r="A127" s="121" t="s">
        <v>237</v>
      </c>
      <c r="V127" t="s">
        <v>221</v>
      </c>
      <c r="W127" t="s">
        <v>221</v>
      </c>
    </row>
    <row r="128" spans="1:54" ht="12" thickBot="1" x14ac:dyDescent="0.2">
      <c r="C128" s="64" t="s">
        <v>100</v>
      </c>
      <c r="D128" s="64" t="s">
        <v>105</v>
      </c>
      <c r="E128" s="65" t="s">
        <v>181</v>
      </c>
      <c r="F128" s="64" t="s">
        <v>101</v>
      </c>
      <c r="G128" s="65" t="s">
        <v>155</v>
      </c>
      <c r="H128" s="65" t="s">
        <v>156</v>
      </c>
      <c r="I128" s="65" t="s">
        <v>229</v>
      </c>
      <c r="J128" s="65" t="s">
        <v>153</v>
      </c>
      <c r="K128" s="64" t="s">
        <v>102</v>
      </c>
      <c r="L128" s="64" t="s">
        <v>104</v>
      </c>
      <c r="M128" s="64" t="s">
        <v>99</v>
      </c>
      <c r="N128" s="65" t="s">
        <v>103</v>
      </c>
      <c r="O128" s="65" t="s">
        <v>154</v>
      </c>
      <c r="P128" s="140" t="s">
        <v>157</v>
      </c>
      <c r="Q128" s="140" t="s">
        <v>182</v>
      </c>
      <c r="R128" s="140" t="s">
        <v>184</v>
      </c>
      <c r="T128" s="8" t="s">
        <v>238</v>
      </c>
      <c r="U128" s="8" t="s">
        <v>232</v>
      </c>
      <c r="V128" t="s">
        <v>230</v>
      </c>
      <c r="W128" t="s">
        <v>231</v>
      </c>
      <c r="X128" t="s">
        <v>228</v>
      </c>
      <c r="Y128" t="s">
        <v>236</v>
      </c>
      <c r="Z128" t="s">
        <v>222</v>
      </c>
      <c r="AA128" t="s">
        <v>223</v>
      </c>
      <c r="AB128" t="s">
        <v>224</v>
      </c>
      <c r="AC128" t="s">
        <v>229</v>
      </c>
      <c r="AD128" t="s">
        <v>225</v>
      </c>
      <c r="AE128" t="s">
        <v>226</v>
      </c>
      <c r="AF128" t="s">
        <v>227</v>
      </c>
      <c r="AH128" s="151" t="s">
        <v>240</v>
      </c>
      <c r="AI128" s="149"/>
      <c r="AJ128" s="150" t="s">
        <v>100</v>
      </c>
      <c r="AK128" s="150" t="s">
        <v>105</v>
      </c>
      <c r="AL128" s="150" t="s">
        <v>181</v>
      </c>
      <c r="AM128" s="150" t="s">
        <v>101</v>
      </c>
      <c r="AN128" s="150" t="s">
        <v>155</v>
      </c>
      <c r="AO128" s="150" t="s">
        <v>156</v>
      </c>
      <c r="AP128" s="150" t="s">
        <v>229</v>
      </c>
      <c r="AQ128" s="150" t="s">
        <v>153</v>
      </c>
      <c r="AR128" s="150" t="s">
        <v>102</v>
      </c>
      <c r="AS128" s="150" t="s">
        <v>104</v>
      </c>
      <c r="AT128" s="150" t="s">
        <v>99</v>
      </c>
      <c r="AU128" s="150" t="s">
        <v>103</v>
      </c>
      <c r="AV128" s="150" t="s">
        <v>154</v>
      </c>
      <c r="AW128" s="150" t="s">
        <v>157</v>
      </c>
      <c r="AX128" s="150" t="s">
        <v>182</v>
      </c>
      <c r="AY128" s="150" t="s">
        <v>184</v>
      </c>
      <c r="BA128" s="157" t="s">
        <v>221</v>
      </c>
      <c r="BB128" s="156" t="s">
        <v>210</v>
      </c>
    </row>
    <row r="129" spans="2:54" x14ac:dyDescent="0.15">
      <c r="B129" t="s">
        <v>93</v>
      </c>
      <c r="C129" s="138">
        <f t="shared" ref="C129:G138" si="106">C110</f>
        <v>3897</v>
      </c>
      <c r="D129" s="138">
        <f t="shared" si="106"/>
        <v>0</v>
      </c>
      <c r="E129" s="138">
        <f t="shared" si="106"/>
        <v>0</v>
      </c>
      <c r="F129" s="138">
        <f t="shared" si="106"/>
        <v>1817</v>
      </c>
      <c r="G129" s="138">
        <f t="shared" si="106"/>
        <v>0</v>
      </c>
      <c r="H129">
        <f>AA129+AB129</f>
        <v>0</v>
      </c>
      <c r="I129" s="138">
        <f>AC129</f>
        <v>1364</v>
      </c>
      <c r="J129">
        <f>AE129+AD129</f>
        <v>649</v>
      </c>
      <c r="K129">
        <f>K110</f>
        <v>0</v>
      </c>
      <c r="L129">
        <f>V110</f>
        <v>0</v>
      </c>
      <c r="M129" s="138">
        <f>Q110</f>
        <v>2533</v>
      </c>
      <c r="N129">
        <f>R110</f>
        <v>0</v>
      </c>
      <c r="O129">
        <f>S110</f>
        <v>0</v>
      </c>
      <c r="P129" s="114">
        <f>$T129/3</f>
        <v>1212.3333333333333</v>
      </c>
      <c r="Q129" s="114">
        <f>$T129/3</f>
        <v>1212.3333333333333</v>
      </c>
      <c r="R129" s="114">
        <f>$T129/3</f>
        <v>1212.3333333333333</v>
      </c>
      <c r="T129">
        <f t="shared" ref="T129:T135" si="107">X129+Y129+Z129+AF129</f>
        <v>3637</v>
      </c>
      <c r="U129" s="138">
        <f>SUM(C129:R129)</f>
        <v>13897.000000000002</v>
      </c>
      <c r="V129" s="138">
        <f t="shared" ref="V129:W138" si="108">W110</f>
        <v>17014</v>
      </c>
      <c r="W129" s="138">
        <f t="shared" si="108"/>
        <v>10000</v>
      </c>
      <c r="X129">
        <f>T110</f>
        <v>0</v>
      </c>
      <c r="Y129">
        <f>H110</f>
        <v>0</v>
      </c>
      <c r="Z129">
        <f>J110</f>
        <v>1300</v>
      </c>
      <c r="AA129">
        <f>L110</f>
        <v>0</v>
      </c>
      <c r="AB129">
        <f>M110</f>
        <v>0</v>
      </c>
      <c r="AC129">
        <f>U110</f>
        <v>1364</v>
      </c>
      <c r="AD129">
        <f>N110</f>
        <v>649</v>
      </c>
      <c r="AE129">
        <f>O110</f>
        <v>0</v>
      </c>
      <c r="AF129" s="138">
        <f>P110</f>
        <v>2337</v>
      </c>
      <c r="AH129" s="149"/>
      <c r="AI129" s="149" t="s">
        <v>93</v>
      </c>
      <c r="AJ129" s="149">
        <f t="shared" ref="AJ129:AJ142" si="109">(C129+C28+C83)/10^6</f>
        <v>6.4879999999999998E-3</v>
      </c>
      <c r="AK129" s="149">
        <f t="shared" ref="AK129:AK142" si="110">(D129+D28+D83)/10^6</f>
        <v>0</v>
      </c>
      <c r="AL129" s="149">
        <f t="shared" ref="AL129:AL142" si="111">(E129+E28+E83)/10^6</f>
        <v>0</v>
      </c>
      <c r="AM129" s="149">
        <f t="shared" ref="AM129:AM142" si="112">(F129+F28+F83)/10^6</f>
        <v>3.026E-3</v>
      </c>
      <c r="AN129" s="149">
        <f t="shared" ref="AN129:AN142" si="113">(G129+G28+G83)/10^6</f>
        <v>0</v>
      </c>
      <c r="AO129" s="149">
        <f t="shared" ref="AO129:AP142" si="114">(H129+H28+H83)/10^6</f>
        <v>0</v>
      </c>
      <c r="AP129" s="149">
        <f t="shared" si="114"/>
        <v>2.271E-3</v>
      </c>
      <c r="AQ129" s="149">
        <f t="shared" ref="AQ129:AQ142" si="115">(J129+J28+J83)/10^6</f>
        <v>1.0809999999999999E-3</v>
      </c>
      <c r="AR129" s="149">
        <f t="shared" ref="AR129:AR142" si="116">(K129+K28+K83)/10^6</f>
        <v>0</v>
      </c>
      <c r="AS129" s="149">
        <f t="shared" ref="AS129:AS142" si="117">(L129+L28+L83)/10^6</f>
        <v>0</v>
      </c>
      <c r="AT129" s="149">
        <f t="shared" ref="AT129:AT142" si="118">(M129+M28+M83)/10^6</f>
        <v>4.2170000000000003E-3</v>
      </c>
      <c r="AU129" s="149">
        <f t="shared" ref="AU129:AU142" si="119">(N129+N28+N83)/10^6</f>
        <v>0</v>
      </c>
      <c r="AV129" s="149">
        <f t="shared" ref="AV129:AV142" si="120">(O129+O28+O83)/10^6</f>
        <v>0</v>
      </c>
      <c r="AW129" s="149">
        <f t="shared" ref="AW129:AW142" si="121">(P129+P28+P83)/10^6</f>
        <v>2.0183333333333329E-3</v>
      </c>
      <c r="AX129" s="149">
        <f t="shared" ref="AX129:AX142" si="122">(Q129+Q28+Q83)/10^6</f>
        <v>2.0183333333333329E-3</v>
      </c>
      <c r="AY129" s="149">
        <f t="shared" ref="AY129:AY142" si="123">(R129+R28+R83)/10^6</f>
        <v>2.0183333333333329E-3</v>
      </c>
      <c r="BA129" s="149" t="s">
        <v>93</v>
      </c>
      <c r="BB129" s="149">
        <f t="shared" ref="BB129:BB142" si="124">(W129+W83+W28)/10^6</f>
        <v>1.6650000000000002E-2</v>
      </c>
    </row>
    <row r="130" spans="2:54" x14ac:dyDescent="0.15">
      <c r="B130" t="s">
        <v>92</v>
      </c>
      <c r="C130" s="138">
        <f t="shared" si="106"/>
        <v>0</v>
      </c>
      <c r="D130" s="138">
        <f t="shared" si="106"/>
        <v>5000</v>
      </c>
      <c r="E130" s="138">
        <f t="shared" si="106"/>
        <v>0</v>
      </c>
      <c r="F130" s="138">
        <f t="shared" si="106"/>
        <v>2500</v>
      </c>
      <c r="G130" s="138">
        <f t="shared" si="106"/>
        <v>0</v>
      </c>
      <c r="H130">
        <f t="shared" ref="H130:H147" si="125">AA130+AB130</f>
        <v>0</v>
      </c>
      <c r="I130" s="138">
        <f t="shared" ref="I130:I147" si="126">AC130</f>
        <v>0</v>
      </c>
      <c r="J130">
        <f t="shared" ref="J130:J139" si="127">AE130+AD130</f>
        <v>2500</v>
      </c>
      <c r="K130">
        <f t="shared" ref="K130:K138" si="128">K111</f>
        <v>0</v>
      </c>
      <c r="L130">
        <f t="shared" ref="L130:L138" si="129">V111</f>
        <v>0</v>
      </c>
      <c r="M130" s="138">
        <f t="shared" ref="M130:M138" si="130">Q111</f>
        <v>0</v>
      </c>
      <c r="N130">
        <f t="shared" ref="N130:N138" si="131">R111</f>
        <v>0</v>
      </c>
      <c r="O130">
        <f t="shared" ref="O130:O138" si="132">S111</f>
        <v>0</v>
      </c>
      <c r="P130" s="114">
        <f t="shared" ref="P130:R148" si="133">$T130/3</f>
        <v>0</v>
      </c>
      <c r="Q130" s="114">
        <f t="shared" si="133"/>
        <v>0</v>
      </c>
      <c r="R130" s="114">
        <f t="shared" si="133"/>
        <v>0</v>
      </c>
      <c r="T130">
        <f t="shared" si="107"/>
        <v>0</v>
      </c>
      <c r="U130">
        <f t="shared" ref="U130:U141" si="134">SUM(C130:R130)</f>
        <v>10000</v>
      </c>
      <c r="V130" s="138">
        <f t="shared" si="108"/>
        <v>12500</v>
      </c>
      <c r="W130" s="138">
        <f t="shared" si="108"/>
        <v>10000</v>
      </c>
      <c r="X130">
        <f t="shared" ref="X130:X138" si="135">T111</f>
        <v>0</v>
      </c>
      <c r="Y130">
        <f t="shared" ref="Y130:Y138" si="136">H111</f>
        <v>0</v>
      </c>
      <c r="Z130">
        <f t="shared" ref="Z130:Z138" si="137">J111</f>
        <v>0</v>
      </c>
      <c r="AA130">
        <f t="shared" ref="AA130:AA138" si="138">L111</f>
        <v>0</v>
      </c>
      <c r="AB130">
        <f t="shared" ref="AB130:AB138" si="139">M111</f>
        <v>0</v>
      </c>
      <c r="AC130">
        <f t="shared" ref="AC130:AC138" si="140">U111</f>
        <v>0</v>
      </c>
      <c r="AD130">
        <f t="shared" ref="AD130:AD138" si="141">N111</f>
        <v>2500</v>
      </c>
      <c r="AE130">
        <f t="shared" ref="AE130:AE138" si="142">O111</f>
        <v>0</v>
      </c>
      <c r="AF130" s="138">
        <f t="shared" ref="AF130:AF135" si="143">P111</f>
        <v>0</v>
      </c>
      <c r="AH130" s="149"/>
      <c r="AI130" s="149" t="s">
        <v>92</v>
      </c>
      <c r="AJ130" s="149">
        <f t="shared" si="109"/>
        <v>0</v>
      </c>
      <c r="AK130" s="149">
        <f t="shared" si="110"/>
        <v>6.0000000000000001E-3</v>
      </c>
      <c r="AL130" s="149">
        <f t="shared" si="111"/>
        <v>0</v>
      </c>
      <c r="AM130" s="149">
        <f t="shared" si="112"/>
        <v>3.2499999999999999E-3</v>
      </c>
      <c r="AN130" s="149">
        <f t="shared" si="113"/>
        <v>0</v>
      </c>
      <c r="AO130" s="149">
        <f t="shared" si="114"/>
        <v>0</v>
      </c>
      <c r="AP130" s="149">
        <f t="shared" si="114"/>
        <v>0</v>
      </c>
      <c r="AQ130" s="149">
        <f t="shared" si="115"/>
        <v>3.2499999999999999E-3</v>
      </c>
      <c r="AR130" s="149">
        <f t="shared" si="116"/>
        <v>5.0000000000000001E-3</v>
      </c>
      <c r="AS130" s="149">
        <f t="shared" si="117"/>
        <v>0</v>
      </c>
      <c r="AT130" s="149">
        <f t="shared" si="118"/>
        <v>0</v>
      </c>
      <c r="AU130" s="149">
        <f t="shared" si="119"/>
        <v>0</v>
      </c>
      <c r="AV130" s="149">
        <f t="shared" si="120"/>
        <v>0</v>
      </c>
      <c r="AW130" s="149">
        <f t="shared" si="121"/>
        <v>0</v>
      </c>
      <c r="AX130" s="149">
        <f t="shared" si="122"/>
        <v>0</v>
      </c>
      <c r="AY130" s="149">
        <f t="shared" si="123"/>
        <v>0</v>
      </c>
      <c r="BA130" s="149" t="s">
        <v>92</v>
      </c>
      <c r="BB130" s="149">
        <f t="shared" si="124"/>
        <v>1.7500000000000002E-2</v>
      </c>
    </row>
    <row r="131" spans="2:54" x14ac:dyDescent="0.15">
      <c r="B131" t="s">
        <v>91</v>
      </c>
      <c r="C131" s="138">
        <f t="shared" si="106"/>
        <v>0</v>
      </c>
      <c r="D131" s="138">
        <f t="shared" si="106"/>
        <v>5000</v>
      </c>
      <c r="E131" s="138">
        <f t="shared" si="106"/>
        <v>0</v>
      </c>
      <c r="F131" s="138">
        <f t="shared" si="106"/>
        <v>2500</v>
      </c>
      <c r="G131" s="138">
        <f t="shared" si="106"/>
        <v>0</v>
      </c>
      <c r="H131">
        <f t="shared" si="125"/>
        <v>0</v>
      </c>
      <c r="I131" s="138">
        <f t="shared" si="126"/>
        <v>0</v>
      </c>
      <c r="J131">
        <f t="shared" si="127"/>
        <v>2500</v>
      </c>
      <c r="K131">
        <f t="shared" si="128"/>
        <v>0</v>
      </c>
      <c r="L131">
        <f t="shared" si="129"/>
        <v>0</v>
      </c>
      <c r="M131" s="138">
        <f t="shared" si="130"/>
        <v>0</v>
      </c>
      <c r="N131">
        <f t="shared" si="131"/>
        <v>0</v>
      </c>
      <c r="O131">
        <f t="shared" si="132"/>
        <v>0</v>
      </c>
      <c r="P131" s="114">
        <f t="shared" si="133"/>
        <v>0</v>
      </c>
      <c r="Q131" s="114">
        <f t="shared" si="133"/>
        <v>0</v>
      </c>
      <c r="R131" s="114">
        <f t="shared" si="133"/>
        <v>0</v>
      </c>
      <c r="T131">
        <f t="shared" si="107"/>
        <v>0</v>
      </c>
      <c r="U131">
        <f t="shared" si="134"/>
        <v>10000</v>
      </c>
      <c r="V131" s="138">
        <f t="shared" si="108"/>
        <v>12500</v>
      </c>
      <c r="W131" s="138">
        <f t="shared" si="108"/>
        <v>10000</v>
      </c>
      <c r="X131">
        <f t="shared" si="135"/>
        <v>0</v>
      </c>
      <c r="Y131">
        <f t="shared" si="136"/>
        <v>0</v>
      </c>
      <c r="Z131">
        <f t="shared" si="137"/>
        <v>0</v>
      </c>
      <c r="AA131">
        <f t="shared" si="138"/>
        <v>0</v>
      </c>
      <c r="AB131">
        <f t="shared" si="139"/>
        <v>0</v>
      </c>
      <c r="AC131">
        <f t="shared" si="140"/>
        <v>0</v>
      </c>
      <c r="AD131">
        <f t="shared" si="141"/>
        <v>2500</v>
      </c>
      <c r="AE131">
        <f t="shared" si="142"/>
        <v>0</v>
      </c>
      <c r="AF131" s="138">
        <f t="shared" si="143"/>
        <v>0</v>
      </c>
      <c r="AH131" s="149"/>
      <c r="AI131" s="149" t="s">
        <v>91</v>
      </c>
      <c r="AJ131" s="149">
        <f t="shared" si="109"/>
        <v>0</v>
      </c>
      <c r="AK131" s="149">
        <f t="shared" si="110"/>
        <v>5.7499999999999999E-3</v>
      </c>
      <c r="AL131" s="149">
        <f t="shared" si="111"/>
        <v>0</v>
      </c>
      <c r="AM131" s="149">
        <f t="shared" si="112"/>
        <v>2.875E-3</v>
      </c>
      <c r="AN131" s="149">
        <f t="shared" si="113"/>
        <v>0</v>
      </c>
      <c r="AO131" s="149">
        <f t="shared" si="114"/>
        <v>0</v>
      </c>
      <c r="AP131" s="149">
        <f t="shared" si="114"/>
        <v>0</v>
      </c>
      <c r="AQ131" s="149">
        <f t="shared" si="115"/>
        <v>2.875E-3</v>
      </c>
      <c r="AR131" s="149">
        <f t="shared" si="116"/>
        <v>0</v>
      </c>
      <c r="AS131" s="149">
        <f t="shared" si="117"/>
        <v>0</v>
      </c>
      <c r="AT131" s="149">
        <f t="shared" si="118"/>
        <v>0</v>
      </c>
      <c r="AU131" s="149">
        <f t="shared" si="119"/>
        <v>0</v>
      </c>
      <c r="AV131" s="149">
        <f t="shared" si="120"/>
        <v>0</v>
      </c>
      <c r="AW131" s="149">
        <f t="shared" si="121"/>
        <v>0</v>
      </c>
      <c r="AX131" s="149">
        <f t="shared" si="122"/>
        <v>0</v>
      </c>
      <c r="AY131" s="149">
        <f t="shared" si="123"/>
        <v>0</v>
      </c>
      <c r="BA131" s="149" t="s">
        <v>91</v>
      </c>
      <c r="BB131" s="149">
        <f t="shared" si="124"/>
        <v>1.15E-2</v>
      </c>
    </row>
    <row r="132" spans="2:54" x14ac:dyDescent="0.15">
      <c r="B132" t="s">
        <v>90</v>
      </c>
      <c r="C132" s="138">
        <f t="shared" si="106"/>
        <v>0</v>
      </c>
      <c r="D132" s="138">
        <f t="shared" si="106"/>
        <v>5000</v>
      </c>
      <c r="E132" s="138">
        <f t="shared" si="106"/>
        <v>0</v>
      </c>
      <c r="F132" s="138">
        <f t="shared" si="106"/>
        <v>2500</v>
      </c>
      <c r="G132" s="138">
        <f t="shared" si="106"/>
        <v>0</v>
      </c>
      <c r="H132">
        <f t="shared" si="125"/>
        <v>0</v>
      </c>
      <c r="I132" s="138">
        <f t="shared" si="126"/>
        <v>0</v>
      </c>
      <c r="J132">
        <f t="shared" si="127"/>
        <v>2500</v>
      </c>
      <c r="K132">
        <f t="shared" si="128"/>
        <v>0</v>
      </c>
      <c r="L132">
        <f t="shared" si="129"/>
        <v>0</v>
      </c>
      <c r="M132" s="138">
        <f t="shared" si="130"/>
        <v>0</v>
      </c>
      <c r="N132">
        <f t="shared" si="131"/>
        <v>0</v>
      </c>
      <c r="O132">
        <f t="shared" si="132"/>
        <v>0</v>
      </c>
      <c r="P132" s="114">
        <f t="shared" si="133"/>
        <v>0</v>
      </c>
      <c r="Q132" s="114">
        <f t="shared" si="133"/>
        <v>0</v>
      </c>
      <c r="R132" s="114">
        <f t="shared" si="133"/>
        <v>0</v>
      </c>
      <c r="T132">
        <f t="shared" si="107"/>
        <v>0</v>
      </c>
      <c r="U132">
        <f t="shared" si="134"/>
        <v>10000</v>
      </c>
      <c r="V132" s="138">
        <f t="shared" si="108"/>
        <v>12500</v>
      </c>
      <c r="W132" s="138">
        <f t="shared" si="108"/>
        <v>10000</v>
      </c>
      <c r="X132">
        <f t="shared" si="135"/>
        <v>0</v>
      </c>
      <c r="Y132">
        <f t="shared" si="136"/>
        <v>0</v>
      </c>
      <c r="Z132">
        <f t="shared" si="137"/>
        <v>0</v>
      </c>
      <c r="AA132">
        <f t="shared" si="138"/>
        <v>0</v>
      </c>
      <c r="AB132">
        <f t="shared" si="139"/>
        <v>0</v>
      </c>
      <c r="AC132">
        <f t="shared" si="140"/>
        <v>0</v>
      </c>
      <c r="AD132">
        <f t="shared" si="141"/>
        <v>2500</v>
      </c>
      <c r="AE132">
        <f t="shared" si="142"/>
        <v>0</v>
      </c>
      <c r="AF132" s="138">
        <f t="shared" si="143"/>
        <v>0</v>
      </c>
      <c r="AH132" s="149"/>
      <c r="AI132" s="149" t="s">
        <v>90</v>
      </c>
      <c r="AJ132" s="149">
        <f t="shared" si="109"/>
        <v>0</v>
      </c>
      <c r="AK132" s="149">
        <f t="shared" si="110"/>
        <v>1.025E-2</v>
      </c>
      <c r="AL132" s="149">
        <f t="shared" si="111"/>
        <v>0</v>
      </c>
      <c r="AM132" s="149">
        <f t="shared" si="112"/>
        <v>2.7499999999999998E-3</v>
      </c>
      <c r="AN132" s="149">
        <f t="shared" si="113"/>
        <v>0</v>
      </c>
      <c r="AO132" s="149">
        <f t="shared" si="114"/>
        <v>0</v>
      </c>
      <c r="AP132" s="149">
        <f t="shared" si="114"/>
        <v>0</v>
      </c>
      <c r="AQ132" s="149">
        <f t="shared" si="115"/>
        <v>2.7499999999999998E-3</v>
      </c>
      <c r="AR132" s="149">
        <f t="shared" si="116"/>
        <v>0</v>
      </c>
      <c r="AS132" s="149">
        <f t="shared" si="117"/>
        <v>0</v>
      </c>
      <c r="AT132" s="149">
        <f t="shared" si="118"/>
        <v>0</v>
      </c>
      <c r="AU132" s="149">
        <f t="shared" si="119"/>
        <v>0</v>
      </c>
      <c r="AV132" s="149">
        <f t="shared" si="120"/>
        <v>0</v>
      </c>
      <c r="AW132" s="149">
        <f t="shared" si="121"/>
        <v>0</v>
      </c>
      <c r="AX132" s="149">
        <f t="shared" si="122"/>
        <v>0</v>
      </c>
      <c r="AY132" s="149">
        <f t="shared" si="123"/>
        <v>0</v>
      </c>
      <c r="BA132" s="149" t="s">
        <v>90</v>
      </c>
      <c r="BB132" s="149">
        <f t="shared" si="124"/>
        <v>1.575E-2</v>
      </c>
    </row>
    <row r="133" spans="2:54" x14ac:dyDescent="0.15">
      <c r="B133" t="s">
        <v>89</v>
      </c>
      <c r="C133" s="138">
        <f t="shared" si="106"/>
        <v>2287</v>
      </c>
      <c r="D133" s="138">
        <f t="shared" si="106"/>
        <v>0</v>
      </c>
      <c r="E133" s="138">
        <f t="shared" si="106"/>
        <v>0</v>
      </c>
      <c r="F133" s="138">
        <f t="shared" si="106"/>
        <v>5424</v>
      </c>
      <c r="G133" s="138">
        <f t="shared" si="106"/>
        <v>0</v>
      </c>
      <c r="H133">
        <f t="shared" si="125"/>
        <v>0</v>
      </c>
      <c r="I133" s="138">
        <f t="shared" si="126"/>
        <v>801</v>
      </c>
      <c r="J133">
        <f t="shared" si="127"/>
        <v>2285</v>
      </c>
      <c r="K133">
        <f t="shared" si="128"/>
        <v>0</v>
      </c>
      <c r="L133">
        <f t="shared" si="129"/>
        <v>0</v>
      </c>
      <c r="M133" s="138">
        <f t="shared" si="130"/>
        <v>1487</v>
      </c>
      <c r="N133">
        <f t="shared" si="131"/>
        <v>0</v>
      </c>
      <c r="O133">
        <f t="shared" si="132"/>
        <v>0</v>
      </c>
      <c r="P133" s="114">
        <f t="shared" si="133"/>
        <v>1.3333333333333333</v>
      </c>
      <c r="Q133" s="114">
        <f t="shared" si="133"/>
        <v>1.3333333333333333</v>
      </c>
      <c r="R133" s="114">
        <f t="shared" si="133"/>
        <v>1.3333333333333333</v>
      </c>
      <c r="T133">
        <f t="shared" si="107"/>
        <v>4</v>
      </c>
      <c r="U133">
        <f t="shared" si="134"/>
        <v>12288.000000000002</v>
      </c>
      <c r="V133" s="138">
        <f t="shared" si="108"/>
        <v>17713</v>
      </c>
      <c r="W133" s="138">
        <f t="shared" si="108"/>
        <v>10000</v>
      </c>
      <c r="X133">
        <f t="shared" si="135"/>
        <v>0</v>
      </c>
      <c r="Y133">
        <f t="shared" si="136"/>
        <v>0</v>
      </c>
      <c r="Z133">
        <f t="shared" si="137"/>
        <v>1</v>
      </c>
      <c r="AA133">
        <f t="shared" si="138"/>
        <v>0</v>
      </c>
      <c r="AB133">
        <f t="shared" si="139"/>
        <v>0</v>
      </c>
      <c r="AC133">
        <f t="shared" si="140"/>
        <v>801</v>
      </c>
      <c r="AD133">
        <f t="shared" si="141"/>
        <v>2285</v>
      </c>
      <c r="AE133">
        <f t="shared" si="142"/>
        <v>0</v>
      </c>
      <c r="AF133" s="138">
        <f t="shared" si="143"/>
        <v>3</v>
      </c>
      <c r="AH133" s="149"/>
      <c r="AI133" s="149" t="s">
        <v>89</v>
      </c>
      <c r="AJ133" s="149">
        <f t="shared" si="109"/>
        <v>3.9680000000000002E-3</v>
      </c>
      <c r="AK133" s="149">
        <f t="shared" si="110"/>
        <v>0</v>
      </c>
      <c r="AL133" s="149">
        <f t="shared" si="111"/>
        <v>0</v>
      </c>
      <c r="AM133" s="149">
        <f t="shared" si="112"/>
        <v>9.2610000000000001E-3</v>
      </c>
      <c r="AN133" s="149">
        <f t="shared" si="113"/>
        <v>0</v>
      </c>
      <c r="AO133" s="149">
        <f t="shared" si="114"/>
        <v>0</v>
      </c>
      <c r="AP133" s="149">
        <f t="shared" si="114"/>
        <v>1.389E-3</v>
      </c>
      <c r="AQ133" s="149">
        <f t="shared" si="115"/>
        <v>3.8990000000000001E-3</v>
      </c>
      <c r="AR133" s="149">
        <f t="shared" si="116"/>
        <v>0</v>
      </c>
      <c r="AS133" s="149">
        <f t="shared" si="117"/>
        <v>0</v>
      </c>
      <c r="AT133" s="149">
        <f t="shared" si="118"/>
        <v>2.5799999999999998E-3</v>
      </c>
      <c r="AU133" s="149">
        <f t="shared" si="119"/>
        <v>0</v>
      </c>
      <c r="AV133" s="149">
        <f t="shared" si="120"/>
        <v>0</v>
      </c>
      <c r="AW133" s="149">
        <f t="shared" si="121"/>
        <v>2.6666666666666663E-5</v>
      </c>
      <c r="AX133" s="149">
        <f t="shared" si="122"/>
        <v>2.6666666666666663E-5</v>
      </c>
      <c r="AY133" s="149">
        <f t="shared" si="123"/>
        <v>2.6666666666666663E-5</v>
      </c>
      <c r="BA133" s="149" t="s">
        <v>89</v>
      </c>
      <c r="BB133" s="149">
        <f t="shared" si="124"/>
        <v>1.7208000000000001E-2</v>
      </c>
    </row>
    <row r="134" spans="2:54" x14ac:dyDescent="0.15">
      <c r="B134" t="s">
        <v>88</v>
      </c>
      <c r="C134" s="138">
        <f t="shared" si="106"/>
        <v>0</v>
      </c>
      <c r="D134" s="138">
        <f t="shared" si="106"/>
        <v>0</v>
      </c>
      <c r="E134" s="138">
        <f t="shared" si="106"/>
        <v>0</v>
      </c>
      <c r="F134" s="138">
        <f t="shared" si="106"/>
        <v>3000</v>
      </c>
      <c r="G134" s="138">
        <f t="shared" si="106"/>
        <v>0</v>
      </c>
      <c r="H134">
        <f t="shared" si="125"/>
        <v>0</v>
      </c>
      <c r="I134" s="138">
        <f t="shared" si="126"/>
        <v>0</v>
      </c>
      <c r="J134">
        <f t="shared" si="127"/>
        <v>0</v>
      </c>
      <c r="K134">
        <f t="shared" si="128"/>
        <v>12000</v>
      </c>
      <c r="L134">
        <f t="shared" si="129"/>
        <v>0</v>
      </c>
      <c r="M134" s="138">
        <f t="shared" si="130"/>
        <v>0</v>
      </c>
      <c r="N134">
        <f t="shared" si="131"/>
        <v>0</v>
      </c>
      <c r="O134">
        <f t="shared" si="132"/>
        <v>0</v>
      </c>
      <c r="P134" s="114">
        <f t="shared" si="133"/>
        <v>0</v>
      </c>
      <c r="Q134" s="114">
        <f t="shared" si="133"/>
        <v>0</v>
      </c>
      <c r="R134" s="114">
        <f t="shared" si="133"/>
        <v>0</v>
      </c>
      <c r="T134">
        <f t="shared" si="107"/>
        <v>0</v>
      </c>
      <c r="U134">
        <f t="shared" si="134"/>
        <v>15000</v>
      </c>
      <c r="V134" s="138">
        <f t="shared" si="108"/>
        <v>18000</v>
      </c>
      <c r="W134" s="138">
        <f t="shared" si="108"/>
        <v>15000</v>
      </c>
      <c r="X134">
        <f t="shared" si="135"/>
        <v>0</v>
      </c>
      <c r="Y134">
        <f t="shared" si="136"/>
        <v>0</v>
      </c>
      <c r="Z134">
        <f t="shared" si="137"/>
        <v>0</v>
      </c>
      <c r="AA134">
        <f t="shared" si="138"/>
        <v>0</v>
      </c>
      <c r="AB134">
        <f t="shared" si="139"/>
        <v>0</v>
      </c>
      <c r="AC134">
        <f t="shared" si="140"/>
        <v>0</v>
      </c>
      <c r="AD134">
        <f t="shared" si="141"/>
        <v>0</v>
      </c>
      <c r="AE134">
        <f t="shared" si="142"/>
        <v>0</v>
      </c>
      <c r="AF134" s="138">
        <f t="shared" si="143"/>
        <v>0</v>
      </c>
      <c r="AH134" s="149"/>
      <c r="AI134" s="149" t="s">
        <v>88</v>
      </c>
      <c r="AJ134" s="149">
        <f t="shared" si="109"/>
        <v>0</v>
      </c>
      <c r="AK134" s="149">
        <f t="shared" si="110"/>
        <v>5.0000000000000001E-4</v>
      </c>
      <c r="AL134" s="149">
        <f t="shared" si="111"/>
        <v>0</v>
      </c>
      <c r="AM134" s="149">
        <f t="shared" si="112"/>
        <v>3.2950000000000002E-3</v>
      </c>
      <c r="AN134" s="149">
        <f t="shared" si="113"/>
        <v>0</v>
      </c>
      <c r="AO134" s="149">
        <f t="shared" si="114"/>
        <v>0</v>
      </c>
      <c r="AP134" s="149">
        <f t="shared" si="114"/>
        <v>0</v>
      </c>
      <c r="AQ134" s="149">
        <f t="shared" si="115"/>
        <v>1.25E-4</v>
      </c>
      <c r="AR134" s="149">
        <f t="shared" si="116"/>
        <v>1.2E-2</v>
      </c>
      <c r="AS134" s="149">
        <f t="shared" si="117"/>
        <v>0</v>
      </c>
      <c r="AT134" s="149">
        <f t="shared" si="118"/>
        <v>0</v>
      </c>
      <c r="AU134" s="149">
        <f t="shared" si="119"/>
        <v>0</v>
      </c>
      <c r="AV134" s="149">
        <f t="shared" si="120"/>
        <v>0</v>
      </c>
      <c r="AW134" s="149">
        <f t="shared" si="121"/>
        <v>0</v>
      </c>
      <c r="AX134" s="149">
        <f t="shared" si="122"/>
        <v>0</v>
      </c>
      <c r="AY134" s="149">
        <f t="shared" si="123"/>
        <v>0</v>
      </c>
      <c r="BA134" s="149" t="s">
        <v>88</v>
      </c>
      <c r="BB134" s="149">
        <f t="shared" si="124"/>
        <v>1.592E-2</v>
      </c>
    </row>
    <row r="135" spans="2:54" x14ac:dyDescent="0.15">
      <c r="B135" t="s">
        <v>87</v>
      </c>
      <c r="C135" s="138">
        <f t="shared" si="106"/>
        <v>12000</v>
      </c>
      <c r="D135" s="138">
        <f t="shared" si="106"/>
        <v>0</v>
      </c>
      <c r="E135" s="138">
        <f t="shared" si="106"/>
        <v>0</v>
      </c>
      <c r="F135" s="138">
        <f t="shared" si="106"/>
        <v>250</v>
      </c>
      <c r="G135" s="138">
        <f t="shared" si="106"/>
        <v>0</v>
      </c>
      <c r="H135">
        <f t="shared" si="125"/>
        <v>0</v>
      </c>
      <c r="I135" s="138">
        <f t="shared" si="126"/>
        <v>0</v>
      </c>
      <c r="J135">
        <f t="shared" si="127"/>
        <v>250</v>
      </c>
      <c r="K135">
        <f t="shared" si="128"/>
        <v>12350</v>
      </c>
      <c r="L135">
        <f t="shared" si="129"/>
        <v>0</v>
      </c>
      <c r="M135" s="138">
        <f t="shared" si="130"/>
        <v>0</v>
      </c>
      <c r="N135">
        <f t="shared" si="131"/>
        <v>12000</v>
      </c>
      <c r="O135">
        <f t="shared" si="132"/>
        <v>0</v>
      </c>
      <c r="P135" s="114">
        <f t="shared" si="133"/>
        <v>100</v>
      </c>
      <c r="Q135" s="114">
        <f t="shared" si="133"/>
        <v>100</v>
      </c>
      <c r="R135" s="114">
        <f t="shared" si="133"/>
        <v>100</v>
      </c>
      <c r="T135">
        <f t="shared" si="107"/>
        <v>300</v>
      </c>
      <c r="U135">
        <f t="shared" si="134"/>
        <v>37150</v>
      </c>
      <c r="V135" s="138">
        <f t="shared" si="108"/>
        <v>37400</v>
      </c>
      <c r="W135" s="138">
        <f t="shared" si="108"/>
        <v>25000</v>
      </c>
      <c r="X135">
        <f t="shared" si="135"/>
        <v>150</v>
      </c>
      <c r="Y135">
        <f t="shared" si="136"/>
        <v>150</v>
      </c>
      <c r="Z135">
        <f t="shared" si="137"/>
        <v>0</v>
      </c>
      <c r="AA135">
        <f t="shared" si="138"/>
        <v>0</v>
      </c>
      <c r="AB135">
        <f t="shared" si="139"/>
        <v>0</v>
      </c>
      <c r="AC135">
        <f t="shared" si="140"/>
        <v>0</v>
      </c>
      <c r="AD135">
        <f t="shared" si="141"/>
        <v>250</v>
      </c>
      <c r="AE135">
        <f t="shared" si="142"/>
        <v>0</v>
      </c>
      <c r="AF135" s="138">
        <f t="shared" si="143"/>
        <v>0</v>
      </c>
      <c r="AH135" s="149"/>
      <c r="AI135" s="149" t="s">
        <v>87</v>
      </c>
      <c r="AJ135" s="149">
        <f t="shared" si="109"/>
        <v>1.5185000000000001E-2</v>
      </c>
      <c r="AK135" s="149">
        <f t="shared" si="110"/>
        <v>0</v>
      </c>
      <c r="AL135" s="149">
        <f t="shared" si="111"/>
        <v>0</v>
      </c>
      <c r="AM135" s="149">
        <f t="shared" si="112"/>
        <v>2.5000000000000001E-4</v>
      </c>
      <c r="AN135" s="149">
        <f t="shared" si="113"/>
        <v>0</v>
      </c>
      <c r="AO135" s="149">
        <f t="shared" si="114"/>
        <v>5.9599999999999996E-4</v>
      </c>
      <c r="AP135" s="149">
        <f t="shared" si="114"/>
        <v>5.0199999999999995E-4</v>
      </c>
      <c r="AQ135" s="149">
        <f t="shared" si="115"/>
        <v>3.4200000000000002E-4</v>
      </c>
      <c r="AR135" s="149">
        <f t="shared" si="116"/>
        <v>5.1987999999999999E-2</v>
      </c>
      <c r="AS135" s="149">
        <f t="shared" si="117"/>
        <v>0</v>
      </c>
      <c r="AT135" s="149">
        <f t="shared" si="118"/>
        <v>0</v>
      </c>
      <c r="AU135" s="149">
        <f t="shared" si="119"/>
        <v>1.4683E-2</v>
      </c>
      <c r="AV135" s="149">
        <f t="shared" si="120"/>
        <v>0</v>
      </c>
      <c r="AW135" s="149">
        <f t="shared" si="121"/>
        <v>1.5333333333333334E-4</v>
      </c>
      <c r="AX135" s="149">
        <f t="shared" si="122"/>
        <v>1.5333333333333334E-4</v>
      </c>
      <c r="AY135" s="149">
        <f t="shared" si="123"/>
        <v>1.5333333333333334E-4</v>
      </c>
      <c r="BA135" s="149" t="s">
        <v>87</v>
      </c>
      <c r="BB135" s="149">
        <f t="shared" si="124"/>
        <v>6.8590999999999999E-2</v>
      </c>
    </row>
    <row r="136" spans="2:54" x14ac:dyDescent="0.15">
      <c r="B136" t="s">
        <v>86</v>
      </c>
      <c r="C136" s="138">
        <f t="shared" si="106"/>
        <v>167095</v>
      </c>
      <c r="D136" s="138">
        <f t="shared" si="106"/>
        <v>0</v>
      </c>
      <c r="E136" s="138">
        <f t="shared" si="106"/>
        <v>5000</v>
      </c>
      <c r="F136" s="138">
        <f t="shared" si="106"/>
        <v>55095</v>
      </c>
      <c r="G136" s="138">
        <f t="shared" si="106"/>
        <v>0</v>
      </c>
      <c r="H136">
        <f t="shared" si="125"/>
        <v>16943</v>
      </c>
      <c r="I136" s="138">
        <f t="shared" si="126"/>
        <v>43037</v>
      </c>
      <c r="J136">
        <f t="shared" si="127"/>
        <v>23857</v>
      </c>
      <c r="K136">
        <f t="shared" si="128"/>
        <v>57559</v>
      </c>
      <c r="L136">
        <f t="shared" si="129"/>
        <v>0</v>
      </c>
      <c r="M136" s="138">
        <f t="shared" si="130"/>
        <v>80281</v>
      </c>
      <c r="N136">
        <f t="shared" si="131"/>
        <v>23137</v>
      </c>
      <c r="O136">
        <f t="shared" si="132"/>
        <v>2300</v>
      </c>
      <c r="P136" s="114">
        <f t="shared" si="133"/>
        <v>47197</v>
      </c>
      <c r="Q136" s="114">
        <f t="shared" si="133"/>
        <v>47197</v>
      </c>
      <c r="R136" s="114">
        <f t="shared" si="133"/>
        <v>47197</v>
      </c>
      <c r="T136" s="138">
        <f t="shared" ref="T136:T141" si="144">X136+Y136+Z136+AF136</f>
        <v>141591</v>
      </c>
      <c r="U136">
        <f t="shared" si="134"/>
        <v>615895</v>
      </c>
      <c r="V136" s="138">
        <f t="shared" si="108"/>
        <v>719906</v>
      </c>
      <c r="W136" s="138">
        <f t="shared" si="108"/>
        <v>443800</v>
      </c>
      <c r="X136" s="138">
        <f>T117</f>
        <v>27640</v>
      </c>
      <c r="Y136">
        <f t="shared" si="136"/>
        <v>0</v>
      </c>
      <c r="Z136" s="138">
        <f>J117</f>
        <v>48916</v>
      </c>
      <c r="AA136">
        <f t="shared" si="138"/>
        <v>6777</v>
      </c>
      <c r="AB136">
        <f t="shared" si="139"/>
        <v>10166</v>
      </c>
      <c r="AC136">
        <f t="shared" si="140"/>
        <v>43037</v>
      </c>
      <c r="AD136">
        <f t="shared" si="141"/>
        <v>23857</v>
      </c>
      <c r="AE136">
        <f t="shared" si="142"/>
        <v>0</v>
      </c>
      <c r="AF136" s="138">
        <f>P117</f>
        <v>65035</v>
      </c>
      <c r="AH136" s="149"/>
      <c r="AI136" s="149" t="s">
        <v>86</v>
      </c>
      <c r="AJ136" s="149">
        <f t="shared" si="109"/>
        <v>0.213758</v>
      </c>
      <c r="AK136" s="149">
        <f t="shared" si="110"/>
        <v>0</v>
      </c>
      <c r="AL136" s="149">
        <f t="shared" si="111"/>
        <v>5.0000000000000001E-3</v>
      </c>
      <c r="AM136" s="149">
        <f t="shared" si="112"/>
        <v>6.4430000000000001E-2</v>
      </c>
      <c r="AN136" s="149">
        <f t="shared" si="113"/>
        <v>0</v>
      </c>
      <c r="AO136" s="149">
        <f t="shared" si="114"/>
        <v>2.7226E-2</v>
      </c>
      <c r="AP136" s="149">
        <f t="shared" si="114"/>
        <v>5.1744999999999999E-2</v>
      </c>
      <c r="AQ136" s="149">
        <f t="shared" si="115"/>
        <v>2.8376999999999999E-2</v>
      </c>
      <c r="AR136" s="149">
        <f t="shared" si="116"/>
        <v>9.2492000000000005E-2</v>
      </c>
      <c r="AS136" s="149">
        <f t="shared" si="117"/>
        <v>0</v>
      </c>
      <c r="AT136" s="149">
        <f t="shared" si="118"/>
        <v>9.8651000000000003E-2</v>
      </c>
      <c r="AU136" s="149">
        <f t="shared" si="119"/>
        <v>3.5965999999999998E-2</v>
      </c>
      <c r="AV136" s="149">
        <f t="shared" si="120"/>
        <v>2.3E-3</v>
      </c>
      <c r="AW136" s="149">
        <f t="shared" si="121"/>
        <v>6.070366666666667E-2</v>
      </c>
      <c r="AX136" s="149">
        <f t="shared" si="122"/>
        <v>6.070366666666667E-2</v>
      </c>
      <c r="AY136" s="149">
        <f t="shared" si="123"/>
        <v>6.070366666666667E-2</v>
      </c>
      <c r="BA136" s="149" t="s">
        <v>86</v>
      </c>
      <c r="BB136" s="149">
        <f t="shared" si="124"/>
        <v>0.57777800000000001</v>
      </c>
    </row>
    <row r="137" spans="2:54" x14ac:dyDescent="0.15">
      <c r="B137" t="s">
        <v>85</v>
      </c>
      <c r="C137" s="138">
        <f t="shared" si="106"/>
        <v>15408</v>
      </c>
      <c r="D137" s="138">
        <f t="shared" si="106"/>
        <v>0</v>
      </c>
      <c r="E137" s="138">
        <f t="shared" si="106"/>
        <v>0</v>
      </c>
      <c r="F137" s="138">
        <f t="shared" si="106"/>
        <v>3125</v>
      </c>
      <c r="G137" s="138">
        <f t="shared" si="106"/>
        <v>833</v>
      </c>
      <c r="H137">
        <f t="shared" si="125"/>
        <v>0</v>
      </c>
      <c r="I137" s="138">
        <f t="shared" si="126"/>
        <v>6044</v>
      </c>
      <c r="J137">
        <f t="shared" si="127"/>
        <v>2888</v>
      </c>
      <c r="K137">
        <f t="shared" si="128"/>
        <v>0</v>
      </c>
      <c r="L137">
        <f t="shared" si="129"/>
        <v>0</v>
      </c>
      <c r="M137" s="138">
        <f t="shared" si="130"/>
        <v>10197</v>
      </c>
      <c r="N137">
        <f t="shared" si="131"/>
        <v>0</v>
      </c>
      <c r="O137">
        <f t="shared" si="132"/>
        <v>0</v>
      </c>
      <c r="P137" s="114">
        <f>$T137/3</f>
        <v>915.33333333333337</v>
      </c>
      <c r="Q137" s="114">
        <f t="shared" si="133"/>
        <v>915.33333333333337</v>
      </c>
      <c r="R137" s="114">
        <f t="shared" si="133"/>
        <v>915.33333333333337</v>
      </c>
      <c r="T137">
        <f t="shared" si="144"/>
        <v>2746</v>
      </c>
      <c r="U137">
        <f t="shared" si="134"/>
        <v>41241.000000000007</v>
      </c>
      <c r="V137" s="138">
        <f t="shared" si="108"/>
        <v>44957</v>
      </c>
      <c r="W137" s="138">
        <f t="shared" si="108"/>
        <v>25000</v>
      </c>
      <c r="X137">
        <f t="shared" si="135"/>
        <v>0</v>
      </c>
      <c r="Y137">
        <f t="shared" si="136"/>
        <v>0</v>
      </c>
      <c r="Z137">
        <f t="shared" si="137"/>
        <v>591</v>
      </c>
      <c r="AA137">
        <f t="shared" si="138"/>
        <v>0</v>
      </c>
      <c r="AB137">
        <f t="shared" si="139"/>
        <v>0</v>
      </c>
      <c r="AC137">
        <f t="shared" si="140"/>
        <v>6044</v>
      </c>
      <c r="AD137">
        <f t="shared" si="141"/>
        <v>2888</v>
      </c>
      <c r="AE137">
        <f t="shared" si="142"/>
        <v>0</v>
      </c>
      <c r="AF137" s="138">
        <f>P118</f>
        <v>2155</v>
      </c>
      <c r="AH137" s="149"/>
      <c r="AI137" s="149" t="s">
        <v>85</v>
      </c>
      <c r="AJ137" s="149">
        <f t="shared" si="109"/>
        <v>2.4355000000000002E-2</v>
      </c>
      <c r="AK137" s="149">
        <f t="shared" si="110"/>
        <v>0</v>
      </c>
      <c r="AL137" s="149">
        <f t="shared" si="111"/>
        <v>0</v>
      </c>
      <c r="AM137" s="149">
        <f t="shared" si="112"/>
        <v>6.0200000000000002E-3</v>
      </c>
      <c r="AN137" s="149">
        <f t="shared" si="113"/>
        <v>1.3090000000000001E-3</v>
      </c>
      <c r="AO137" s="149">
        <f t="shared" si="114"/>
        <v>0</v>
      </c>
      <c r="AP137" s="149">
        <f t="shared" si="114"/>
        <v>9.1590000000000005E-3</v>
      </c>
      <c r="AQ137" s="149">
        <f t="shared" si="115"/>
        <v>5.0350000000000004E-3</v>
      </c>
      <c r="AR137" s="149">
        <f t="shared" si="116"/>
        <v>0</v>
      </c>
      <c r="AS137" s="149">
        <f t="shared" si="117"/>
        <v>0</v>
      </c>
      <c r="AT137" s="149">
        <f t="shared" si="118"/>
        <v>1.6264000000000001E-2</v>
      </c>
      <c r="AU137" s="149">
        <f t="shared" si="119"/>
        <v>0</v>
      </c>
      <c r="AV137" s="149">
        <f t="shared" si="120"/>
        <v>0</v>
      </c>
      <c r="AW137" s="149">
        <f t="shared" si="121"/>
        <v>1.5036666666666668E-3</v>
      </c>
      <c r="AX137" s="149">
        <f t="shared" si="122"/>
        <v>1.5036666666666668E-3</v>
      </c>
      <c r="AY137" s="149">
        <f t="shared" si="123"/>
        <v>1.5036666666666668E-3</v>
      </c>
      <c r="BA137" s="149" t="s">
        <v>85</v>
      </c>
      <c r="BB137" s="149">
        <f t="shared" si="124"/>
        <v>4.1230000000000003E-2</v>
      </c>
    </row>
    <row r="138" spans="2:54" x14ac:dyDescent="0.15">
      <c r="B138" t="s">
        <v>84</v>
      </c>
      <c r="C138" s="138">
        <f t="shared" si="106"/>
        <v>0</v>
      </c>
      <c r="D138" s="138">
        <f t="shared" si="106"/>
        <v>0</v>
      </c>
      <c r="E138" s="138">
        <f t="shared" si="106"/>
        <v>0</v>
      </c>
      <c r="F138" s="138">
        <f t="shared" si="106"/>
        <v>0</v>
      </c>
      <c r="G138" s="138">
        <f t="shared" si="106"/>
        <v>0</v>
      </c>
      <c r="H138">
        <f t="shared" si="125"/>
        <v>0</v>
      </c>
      <c r="I138" s="138">
        <f t="shared" si="126"/>
        <v>0</v>
      </c>
      <c r="J138">
        <f t="shared" si="127"/>
        <v>0</v>
      </c>
      <c r="K138">
        <f t="shared" si="128"/>
        <v>0</v>
      </c>
      <c r="L138">
        <f t="shared" si="129"/>
        <v>0</v>
      </c>
      <c r="M138" s="138">
        <f t="shared" si="130"/>
        <v>0</v>
      </c>
      <c r="N138">
        <f t="shared" si="131"/>
        <v>0</v>
      </c>
      <c r="O138">
        <f t="shared" si="132"/>
        <v>0</v>
      </c>
      <c r="P138" s="114">
        <f t="shared" si="133"/>
        <v>0</v>
      </c>
      <c r="Q138" s="114">
        <f t="shared" si="133"/>
        <v>0</v>
      </c>
      <c r="R138" s="114">
        <f t="shared" si="133"/>
        <v>0</v>
      </c>
      <c r="T138">
        <f t="shared" si="144"/>
        <v>0</v>
      </c>
      <c r="U138">
        <f t="shared" si="134"/>
        <v>0</v>
      </c>
      <c r="V138" s="138">
        <f t="shared" si="108"/>
        <v>0</v>
      </c>
      <c r="W138" s="138">
        <f t="shared" si="108"/>
        <v>0</v>
      </c>
      <c r="X138">
        <f t="shared" si="135"/>
        <v>0</v>
      </c>
      <c r="Y138">
        <f t="shared" si="136"/>
        <v>0</v>
      </c>
      <c r="Z138">
        <f t="shared" si="137"/>
        <v>0</v>
      </c>
      <c r="AA138">
        <f t="shared" si="138"/>
        <v>0</v>
      </c>
      <c r="AB138">
        <f t="shared" si="139"/>
        <v>0</v>
      </c>
      <c r="AC138">
        <f t="shared" si="140"/>
        <v>0</v>
      </c>
      <c r="AD138">
        <f t="shared" si="141"/>
        <v>0</v>
      </c>
      <c r="AE138">
        <f t="shared" si="142"/>
        <v>0</v>
      </c>
      <c r="AF138" s="138">
        <f>P119</f>
        <v>0</v>
      </c>
      <c r="AH138" s="149"/>
      <c r="AI138" s="149" t="s">
        <v>84</v>
      </c>
      <c r="AJ138" s="149">
        <f t="shared" si="109"/>
        <v>6.8500000000000002E-3</v>
      </c>
      <c r="AK138" s="149">
        <f t="shared" si="110"/>
        <v>0</v>
      </c>
      <c r="AL138" s="149">
        <f t="shared" si="111"/>
        <v>0</v>
      </c>
      <c r="AM138" s="149">
        <f t="shared" si="112"/>
        <v>1.8489999999999999E-3</v>
      </c>
      <c r="AN138" s="149">
        <f t="shared" si="113"/>
        <v>0</v>
      </c>
      <c r="AO138" s="149">
        <f t="shared" si="114"/>
        <v>2.862E-3</v>
      </c>
      <c r="AP138" s="149">
        <f t="shared" si="114"/>
        <v>1.1850000000000001E-3</v>
      </c>
      <c r="AQ138" s="149">
        <f t="shared" si="115"/>
        <v>1.3159999999999999E-3</v>
      </c>
      <c r="AR138" s="149">
        <f t="shared" si="116"/>
        <v>4.5230000000000001E-3</v>
      </c>
      <c r="AS138" s="149">
        <f t="shared" si="117"/>
        <v>0</v>
      </c>
      <c r="AT138" s="149">
        <f t="shared" si="118"/>
        <v>1.8339999999999999E-3</v>
      </c>
      <c r="AU138" s="149">
        <f t="shared" si="119"/>
        <v>1.6609999999999999E-3</v>
      </c>
      <c r="AV138" s="149">
        <f t="shared" si="120"/>
        <v>0</v>
      </c>
      <c r="AW138" s="149">
        <f t="shared" si="121"/>
        <v>1.6106666666666667E-3</v>
      </c>
      <c r="AX138" s="149">
        <f t="shared" si="122"/>
        <v>1.6106666666666667E-3</v>
      </c>
      <c r="AY138" s="149">
        <f t="shared" si="123"/>
        <v>1.6106666666666667E-3</v>
      </c>
      <c r="BA138" s="149" t="s">
        <v>84</v>
      </c>
      <c r="BB138" s="149">
        <f t="shared" si="124"/>
        <v>2.0060000000000001E-2</v>
      </c>
    </row>
    <row r="139" spans="2:54" x14ac:dyDescent="0.15">
      <c r="B139" s="142" t="s">
        <v>131</v>
      </c>
      <c r="C139">
        <f>C124</f>
        <v>0</v>
      </c>
      <c r="D139" s="138">
        <f>D124</f>
        <v>42280</v>
      </c>
      <c r="E139" s="138">
        <f>E124</f>
        <v>4974</v>
      </c>
      <c r="F139" s="138">
        <f>F124</f>
        <v>2487</v>
      </c>
      <c r="G139">
        <f>G124</f>
        <v>0</v>
      </c>
      <c r="H139">
        <f t="shared" si="125"/>
        <v>259</v>
      </c>
      <c r="I139" s="138">
        <f t="shared" si="126"/>
        <v>0</v>
      </c>
      <c r="J139">
        <f t="shared" si="127"/>
        <v>0</v>
      </c>
      <c r="K139">
        <f>K124</f>
        <v>0</v>
      </c>
      <c r="L139" s="138">
        <f>V124</f>
        <v>42280</v>
      </c>
      <c r="M139">
        <f>Q124</f>
        <v>2487</v>
      </c>
      <c r="N139">
        <f>R124</f>
        <v>895</v>
      </c>
      <c r="O139">
        <f>S124</f>
        <v>398</v>
      </c>
      <c r="P139" s="114">
        <f>$T139/3</f>
        <v>398</v>
      </c>
      <c r="Q139" s="114">
        <f t="shared" si="133"/>
        <v>398</v>
      </c>
      <c r="R139" s="114">
        <f t="shared" si="133"/>
        <v>398</v>
      </c>
      <c r="T139">
        <f t="shared" si="144"/>
        <v>1194</v>
      </c>
      <c r="U139">
        <f t="shared" si="134"/>
        <v>97254</v>
      </c>
      <c r="V139" s="138">
        <f>W124</f>
        <v>99741</v>
      </c>
      <c r="W139" s="138">
        <f>X124</f>
        <v>50000</v>
      </c>
      <c r="X139">
        <f>T124</f>
        <v>1194</v>
      </c>
      <c r="Y139">
        <f>H124</f>
        <v>0</v>
      </c>
      <c r="Z139">
        <f>J124</f>
        <v>0</v>
      </c>
      <c r="AA139">
        <f>L124</f>
        <v>259</v>
      </c>
      <c r="AB139">
        <f>M124</f>
        <v>0</v>
      </c>
      <c r="AC139">
        <f>U124</f>
        <v>0</v>
      </c>
      <c r="AD139">
        <f>N124</f>
        <v>0</v>
      </c>
      <c r="AE139">
        <f>O124</f>
        <v>0</v>
      </c>
      <c r="AF139">
        <f>P124</f>
        <v>0</v>
      </c>
      <c r="AH139" s="149"/>
      <c r="AI139" s="149" t="s">
        <v>131</v>
      </c>
      <c r="AJ139" s="149">
        <f t="shared" si="109"/>
        <v>0</v>
      </c>
      <c r="AK139" s="149">
        <f t="shared" si="110"/>
        <v>6.1898000000000002E-2</v>
      </c>
      <c r="AL139" s="149">
        <f t="shared" si="111"/>
        <v>7.2820000000000003E-3</v>
      </c>
      <c r="AM139" s="149">
        <f t="shared" si="112"/>
        <v>3.6410000000000001E-3</v>
      </c>
      <c r="AN139" s="149">
        <f t="shared" si="113"/>
        <v>0</v>
      </c>
      <c r="AO139" s="149">
        <f t="shared" si="114"/>
        <v>3.79E-4</v>
      </c>
      <c r="AP139" s="149">
        <f t="shared" si="114"/>
        <v>0</v>
      </c>
      <c r="AQ139" s="149">
        <f t="shared" si="115"/>
        <v>0</v>
      </c>
      <c r="AR139" s="149">
        <f t="shared" si="116"/>
        <v>0</v>
      </c>
      <c r="AS139" s="149">
        <f t="shared" si="117"/>
        <v>6.1898000000000002E-2</v>
      </c>
      <c r="AT139" s="149">
        <f t="shared" si="118"/>
        <v>3.6410000000000001E-3</v>
      </c>
      <c r="AU139" s="149">
        <f t="shared" si="119"/>
        <v>1.3110000000000001E-3</v>
      </c>
      <c r="AV139" s="149">
        <f t="shared" si="120"/>
        <v>5.8200000000000005E-4</v>
      </c>
      <c r="AW139" s="149">
        <f t="shared" si="121"/>
        <v>5.8266666666666666E-4</v>
      </c>
      <c r="AX139" s="149">
        <f t="shared" si="122"/>
        <v>5.8266666666666666E-4</v>
      </c>
      <c r="AY139" s="149">
        <f t="shared" si="123"/>
        <v>5.8266666666666666E-4</v>
      </c>
      <c r="BA139" s="149" t="s">
        <v>131</v>
      </c>
      <c r="BB139" s="149">
        <f t="shared" si="124"/>
        <v>7.3200000000000001E-2</v>
      </c>
    </row>
    <row r="140" spans="2:54" x14ac:dyDescent="0.15">
      <c r="B140" s="142" t="s">
        <v>132</v>
      </c>
      <c r="C140" s="138">
        <f>C120-C124-C144</f>
        <v>0</v>
      </c>
      <c r="D140" s="138">
        <f>D120-D124-D144</f>
        <v>5801.5607689257158</v>
      </c>
      <c r="E140" s="138">
        <f>E120-E124-E144</f>
        <v>24674.720878295164</v>
      </c>
      <c r="F140" s="138">
        <f>F120-F124-F144</f>
        <v>4328.5744818517651</v>
      </c>
      <c r="G140" s="138">
        <f>G120-G124-G144</f>
        <v>3008.8766671536796</v>
      </c>
      <c r="H140">
        <f t="shared" si="125"/>
        <v>0</v>
      </c>
      <c r="I140" s="138">
        <f t="shared" si="126"/>
        <v>0</v>
      </c>
      <c r="J140">
        <f t="shared" ref="J140:J147" si="145">AE140+AD140</f>
        <v>0</v>
      </c>
      <c r="K140" s="138">
        <f>K120-K124-K144</f>
        <v>16451.889252989917</v>
      </c>
      <c r="L140" s="138">
        <f>V120-V124-L144</f>
        <v>5801.5607689257158</v>
      </c>
      <c r="M140" s="138">
        <f>Q120-Q124-M144</f>
        <v>14611.354135793445</v>
      </c>
      <c r="N140" s="138">
        <f>R120-R124-N144</f>
        <v>5752.6115088393053</v>
      </c>
      <c r="O140" s="138">
        <f>S120-S124-O144</f>
        <v>2096.2305942267949</v>
      </c>
      <c r="P140" s="114">
        <f>$T140/3</f>
        <v>5121.5668079007601</v>
      </c>
      <c r="Q140" s="114">
        <f t="shared" si="133"/>
        <v>5121.5668079007601</v>
      </c>
      <c r="R140" s="114">
        <f t="shared" si="133"/>
        <v>5121.5668079007601</v>
      </c>
      <c r="S140" s="138"/>
      <c r="T140" s="138">
        <f t="shared" si="144"/>
        <v>15364.700423702279</v>
      </c>
      <c r="U140">
        <f>SUM(C140:R140)</f>
        <v>97892.079480703775</v>
      </c>
      <c r="V140" s="138">
        <f>W120-W124-V144</f>
        <v>108394.48673582263</v>
      </c>
      <c r="W140" s="138">
        <f>X120-X124-W144</f>
        <v>64406.921166329237</v>
      </c>
      <c r="X140" s="138">
        <f>T120-T124-X144</f>
        <v>5223.1866168520792</v>
      </c>
      <c r="Y140" s="138">
        <f>H120-H124-Y144</f>
        <v>3967.6810335831015</v>
      </c>
      <c r="Z140" s="138">
        <f>J120-J124-Z144</f>
        <v>6173.8327732670987</v>
      </c>
      <c r="AA140" s="138">
        <f>L120-L124</f>
        <v>0</v>
      </c>
      <c r="AB140" s="138">
        <f>M120-M124</f>
        <v>0</v>
      </c>
      <c r="AC140" s="138">
        <f>U120-U124</f>
        <v>0</v>
      </c>
      <c r="AD140" s="138">
        <f>N120-N124</f>
        <v>0</v>
      </c>
      <c r="AE140" s="138">
        <f>O120-O124</f>
        <v>0</v>
      </c>
      <c r="AF140" s="138">
        <f>P120-P124</f>
        <v>0</v>
      </c>
      <c r="AH140" s="149"/>
      <c r="AI140" s="149" t="s">
        <v>132</v>
      </c>
      <c r="AJ140" s="149">
        <f t="shared" si="109"/>
        <v>0</v>
      </c>
      <c r="AK140" s="149">
        <f t="shared" si="110"/>
        <v>1.0139560768925715E-2</v>
      </c>
      <c r="AL140" s="149">
        <f t="shared" si="111"/>
        <v>3.1854720878295162E-2</v>
      </c>
      <c r="AM140" s="149">
        <f t="shared" si="112"/>
        <v>6.4295744818517655E-3</v>
      </c>
      <c r="AN140" s="149">
        <f t="shared" si="113"/>
        <v>3.9508766671536794E-3</v>
      </c>
      <c r="AO140" s="149">
        <f t="shared" si="114"/>
        <v>2E-3</v>
      </c>
      <c r="AP140" s="149">
        <f t="shared" si="114"/>
        <v>0</v>
      </c>
      <c r="AQ140" s="149">
        <f t="shared" si="115"/>
        <v>0</v>
      </c>
      <c r="AR140" s="149">
        <f t="shared" si="116"/>
        <v>2.2451889252989916E-2</v>
      </c>
      <c r="AS140" s="149">
        <f t="shared" si="117"/>
        <v>1.0076560768925717E-2</v>
      </c>
      <c r="AT140" s="149">
        <f t="shared" si="118"/>
        <v>1.8667354135793443E-2</v>
      </c>
      <c r="AU140" s="149">
        <f t="shared" si="119"/>
        <v>7.1976115088393054E-3</v>
      </c>
      <c r="AV140" s="149">
        <f t="shared" si="120"/>
        <v>2.7452305942267949E-3</v>
      </c>
      <c r="AW140" s="149">
        <f t="shared" si="121"/>
        <v>6.3595668079007598E-3</v>
      </c>
      <c r="AX140" s="149">
        <f t="shared" si="122"/>
        <v>6.3595668079007598E-3</v>
      </c>
      <c r="AY140" s="149">
        <f t="shared" si="123"/>
        <v>6.3595668079007598E-3</v>
      </c>
      <c r="BA140" s="149" t="s">
        <v>132</v>
      </c>
      <c r="BB140" s="149">
        <f t="shared" si="124"/>
        <v>8.8508921166329232E-2</v>
      </c>
    </row>
    <row r="141" spans="2:54" x14ac:dyDescent="0.15">
      <c r="B141" s="142" t="s">
        <v>83</v>
      </c>
      <c r="C141" s="138">
        <f t="shared" ref="C141:G142" si="146">C121</f>
        <v>100000</v>
      </c>
      <c r="D141" s="138">
        <f t="shared" si="146"/>
        <v>0</v>
      </c>
      <c r="E141" s="138">
        <f t="shared" si="146"/>
        <v>0</v>
      </c>
      <c r="F141" s="138">
        <f t="shared" si="146"/>
        <v>50000</v>
      </c>
      <c r="G141" s="138">
        <f t="shared" si="146"/>
        <v>50000</v>
      </c>
      <c r="H141">
        <f t="shared" si="125"/>
        <v>0</v>
      </c>
      <c r="I141" s="138">
        <f t="shared" si="126"/>
        <v>0</v>
      </c>
      <c r="J141">
        <f t="shared" si="145"/>
        <v>0</v>
      </c>
      <c r="K141" s="138">
        <f>K121</f>
        <v>0</v>
      </c>
      <c r="L141" s="138">
        <f>V121</f>
        <v>0</v>
      </c>
      <c r="M141" s="138">
        <f t="shared" ref="M141:O142" si="147">Q121</f>
        <v>75000</v>
      </c>
      <c r="N141" s="138">
        <f t="shared" si="147"/>
        <v>27000</v>
      </c>
      <c r="O141" s="138">
        <f t="shared" si="147"/>
        <v>12000</v>
      </c>
      <c r="P141" s="114">
        <f>$T141/3</f>
        <v>12000</v>
      </c>
      <c r="Q141" s="114">
        <f t="shared" si="133"/>
        <v>12000</v>
      </c>
      <c r="R141" s="114">
        <f t="shared" si="133"/>
        <v>12000</v>
      </c>
      <c r="T141">
        <f t="shared" si="144"/>
        <v>36000</v>
      </c>
      <c r="U141">
        <f t="shared" si="134"/>
        <v>350000</v>
      </c>
      <c r="V141" s="138">
        <f>W121</f>
        <v>400000</v>
      </c>
      <c r="W141" s="138">
        <f>X121</f>
        <v>200000</v>
      </c>
      <c r="X141" s="138">
        <f>T121</f>
        <v>36000</v>
      </c>
      <c r="Y141" s="138">
        <f>H121</f>
        <v>0</v>
      </c>
      <c r="Z141" s="138">
        <f>J121</f>
        <v>0</v>
      </c>
      <c r="AA141" s="138">
        <f>L121</f>
        <v>0</v>
      </c>
      <c r="AB141" s="138">
        <f>M121</f>
        <v>0</v>
      </c>
      <c r="AC141" s="138">
        <f>U121</f>
        <v>0</v>
      </c>
      <c r="AD141" s="138">
        <f t="shared" ref="AD141:AF142" si="148">N121</f>
        <v>0</v>
      </c>
      <c r="AE141" s="138">
        <f t="shared" si="148"/>
        <v>0</v>
      </c>
      <c r="AF141" s="138">
        <f t="shared" si="148"/>
        <v>0</v>
      </c>
      <c r="AH141" s="149"/>
      <c r="AI141" s="149" t="s">
        <v>83</v>
      </c>
      <c r="AJ141" s="149">
        <f t="shared" si="109"/>
        <v>0.111</v>
      </c>
      <c r="AK141" s="149">
        <f t="shared" si="110"/>
        <v>0</v>
      </c>
      <c r="AL141" s="149">
        <f t="shared" si="111"/>
        <v>1.7000000000000001E-4</v>
      </c>
      <c r="AM141" s="149">
        <f t="shared" si="112"/>
        <v>5.4199999999999998E-2</v>
      </c>
      <c r="AN141" s="149">
        <f t="shared" si="113"/>
        <v>5.4136999999999998E-2</v>
      </c>
      <c r="AO141" s="149">
        <f t="shared" si="114"/>
        <v>3.0000000000000001E-6</v>
      </c>
      <c r="AP141" s="149">
        <f t="shared" si="114"/>
        <v>0</v>
      </c>
      <c r="AQ141" s="149">
        <f t="shared" si="115"/>
        <v>5.8999999999999998E-5</v>
      </c>
      <c r="AR141" s="149">
        <f t="shared" si="116"/>
        <v>0</v>
      </c>
      <c r="AS141" s="149">
        <f t="shared" si="117"/>
        <v>0</v>
      </c>
      <c r="AT141" s="149">
        <f t="shared" si="118"/>
        <v>8.2654000000000005E-2</v>
      </c>
      <c r="AU141" s="149">
        <f t="shared" si="119"/>
        <v>2.9727E-2</v>
      </c>
      <c r="AV141" s="149">
        <f t="shared" si="120"/>
        <v>1.3225000000000001E-2</v>
      </c>
      <c r="AW141" s="149">
        <f t="shared" si="121"/>
        <v>1.3386E-2</v>
      </c>
      <c r="AX141" s="149">
        <f t="shared" si="122"/>
        <v>1.3386E-2</v>
      </c>
      <c r="AY141" s="149">
        <f t="shared" si="123"/>
        <v>1.3386E-2</v>
      </c>
      <c r="BA141" s="149" t="s">
        <v>83</v>
      </c>
      <c r="BB141" s="149">
        <f t="shared" si="124"/>
        <v>0.21956400000000001</v>
      </c>
    </row>
    <row r="142" spans="2:54" x14ac:dyDescent="0.15">
      <c r="B142" t="s">
        <v>82</v>
      </c>
      <c r="C142">
        <f t="shared" si="146"/>
        <v>0</v>
      </c>
      <c r="D142" s="138">
        <f t="shared" si="146"/>
        <v>25000</v>
      </c>
      <c r="E142">
        <f t="shared" si="146"/>
        <v>0</v>
      </c>
      <c r="F142">
        <f t="shared" si="146"/>
        <v>0</v>
      </c>
      <c r="G142">
        <f t="shared" si="146"/>
        <v>0</v>
      </c>
      <c r="H142">
        <f t="shared" si="125"/>
        <v>0</v>
      </c>
      <c r="I142" s="138">
        <f t="shared" si="126"/>
        <v>0</v>
      </c>
      <c r="J142">
        <f t="shared" si="145"/>
        <v>0</v>
      </c>
      <c r="K142" s="138">
        <f>K122</f>
        <v>75000</v>
      </c>
      <c r="L142" s="138">
        <f>V122</f>
        <v>25000</v>
      </c>
      <c r="M142" s="138">
        <f t="shared" si="147"/>
        <v>0</v>
      </c>
      <c r="N142" s="138">
        <f t="shared" si="147"/>
        <v>0</v>
      </c>
      <c r="O142" s="138">
        <f t="shared" si="147"/>
        <v>0</v>
      </c>
      <c r="P142" s="114">
        <f t="shared" ref="P142:P147" si="149">$T142/3</f>
        <v>0</v>
      </c>
      <c r="Q142" s="114">
        <f t="shared" si="133"/>
        <v>0</v>
      </c>
      <c r="R142" s="114">
        <f t="shared" si="133"/>
        <v>0</v>
      </c>
      <c r="T142">
        <f t="shared" ref="T142:T147" si="150">X142+Y142+Z142+AF142</f>
        <v>0</v>
      </c>
      <c r="U142">
        <f t="shared" ref="U142:U147" si="151">SUM(C142:R142)</f>
        <v>125000</v>
      </c>
      <c r="V142" s="138">
        <f>W122</f>
        <v>125000</v>
      </c>
      <c r="W142" s="138">
        <f>X122</f>
        <v>100000</v>
      </c>
      <c r="X142" s="138">
        <f>T122</f>
        <v>0</v>
      </c>
      <c r="Y142">
        <f>H122</f>
        <v>0</v>
      </c>
      <c r="Z142">
        <f>J122</f>
        <v>0</v>
      </c>
      <c r="AA142">
        <f>L122</f>
        <v>0</v>
      </c>
      <c r="AB142">
        <f>M122</f>
        <v>0</v>
      </c>
      <c r="AC142">
        <f>U122</f>
        <v>0</v>
      </c>
      <c r="AD142">
        <f t="shared" si="148"/>
        <v>0</v>
      </c>
      <c r="AE142">
        <f t="shared" si="148"/>
        <v>0</v>
      </c>
      <c r="AF142" s="138">
        <f t="shared" si="148"/>
        <v>0</v>
      </c>
      <c r="AH142" s="149"/>
      <c r="AI142" s="149" t="s">
        <v>82</v>
      </c>
      <c r="AJ142" s="149">
        <f t="shared" si="109"/>
        <v>0</v>
      </c>
      <c r="AK142" s="149">
        <f t="shared" si="110"/>
        <v>4.7055E-2</v>
      </c>
      <c r="AL142" s="149">
        <f t="shared" si="111"/>
        <v>0</v>
      </c>
      <c r="AM142" s="149">
        <f t="shared" si="112"/>
        <v>6.6600000000000003E-4</v>
      </c>
      <c r="AN142" s="149">
        <f t="shared" si="113"/>
        <v>0</v>
      </c>
      <c r="AO142" s="149">
        <f t="shared" si="114"/>
        <v>0</v>
      </c>
      <c r="AP142" s="149">
        <f t="shared" si="114"/>
        <v>0</v>
      </c>
      <c r="AQ142" s="149">
        <f t="shared" si="115"/>
        <v>6.6600000000000003E-4</v>
      </c>
      <c r="AR142" s="149">
        <f t="shared" si="116"/>
        <v>0.13566600000000001</v>
      </c>
      <c r="AS142" s="149">
        <f t="shared" si="117"/>
        <v>4.7055E-2</v>
      </c>
      <c r="AT142" s="149">
        <f t="shared" si="118"/>
        <v>0</v>
      </c>
      <c r="AU142" s="149">
        <f t="shared" si="119"/>
        <v>0</v>
      </c>
      <c r="AV142" s="149">
        <f t="shared" si="120"/>
        <v>0</v>
      </c>
      <c r="AW142" s="149">
        <f t="shared" si="121"/>
        <v>0</v>
      </c>
      <c r="AX142" s="149">
        <f t="shared" si="122"/>
        <v>0</v>
      </c>
      <c r="AY142" s="149">
        <f t="shared" si="123"/>
        <v>0</v>
      </c>
      <c r="BA142" s="149" t="s">
        <v>82</v>
      </c>
      <c r="BB142" s="149">
        <f t="shared" si="124"/>
        <v>0.18405299999999999</v>
      </c>
    </row>
    <row r="143" spans="2:54" x14ac:dyDescent="0.15">
      <c r="B143" s="142" t="s">
        <v>272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125"/>
        <v>0</v>
      </c>
      <c r="I143" s="138">
        <f t="shared" si="126"/>
        <v>0</v>
      </c>
      <c r="J143">
        <f t="shared" si="145"/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14">
        <f t="shared" si="149"/>
        <v>0</v>
      </c>
      <c r="Q143" s="114">
        <f t="shared" si="133"/>
        <v>0</v>
      </c>
      <c r="R143" s="114">
        <f t="shared" si="133"/>
        <v>0</v>
      </c>
      <c r="T143">
        <f t="shared" si="150"/>
        <v>0</v>
      </c>
      <c r="U143">
        <f t="shared" si="151"/>
        <v>0</v>
      </c>
      <c r="V143" s="138">
        <v>0</v>
      </c>
      <c r="W143" s="138">
        <v>0</v>
      </c>
      <c r="X143" s="138">
        <v>0</v>
      </c>
      <c r="Y143" s="138">
        <v>0</v>
      </c>
      <c r="Z143" s="138">
        <v>0</v>
      </c>
      <c r="AA143" s="138">
        <v>0</v>
      </c>
      <c r="AB143" s="138">
        <v>0</v>
      </c>
      <c r="AC143" s="138">
        <v>0</v>
      </c>
      <c r="AD143" s="138">
        <v>0</v>
      </c>
      <c r="AE143" s="138">
        <v>0</v>
      </c>
      <c r="AF143" s="138">
        <v>0</v>
      </c>
      <c r="AH143" s="149"/>
      <c r="AI143" s="149" t="s">
        <v>272</v>
      </c>
      <c r="AJ143" s="149">
        <f t="shared" ref="AJ143:AP147" si="152">(C143+C42+C97)/10^6</f>
        <v>5.0000000000000001E-3</v>
      </c>
      <c r="AK143" s="149">
        <f t="shared" si="152"/>
        <v>0</v>
      </c>
      <c r="AL143" s="149">
        <f t="shared" si="152"/>
        <v>5.0000000000000001E-3</v>
      </c>
      <c r="AM143" s="149">
        <f t="shared" si="152"/>
        <v>1.5E-3</v>
      </c>
      <c r="AN143" s="149">
        <f t="shared" si="152"/>
        <v>0</v>
      </c>
      <c r="AO143" s="149">
        <f t="shared" si="152"/>
        <v>0</v>
      </c>
      <c r="AP143" s="149">
        <f t="shared" si="152"/>
        <v>0</v>
      </c>
      <c r="AQ143" s="149">
        <f t="shared" ref="AQ143:AY143" si="153">(J143+J42+J97)/10^6</f>
        <v>3.0000000000000001E-3</v>
      </c>
      <c r="AR143" s="149">
        <f t="shared" si="153"/>
        <v>0</v>
      </c>
      <c r="AS143" s="149">
        <f t="shared" si="153"/>
        <v>0</v>
      </c>
      <c r="AT143" s="149">
        <f t="shared" si="153"/>
        <v>0</v>
      </c>
      <c r="AU143" s="149">
        <f t="shared" si="153"/>
        <v>2E-3</v>
      </c>
      <c r="AV143" s="149">
        <f t="shared" si="153"/>
        <v>2.3E-3</v>
      </c>
      <c r="AW143" s="149">
        <f t="shared" si="153"/>
        <v>0</v>
      </c>
      <c r="AX143" s="149">
        <f t="shared" si="153"/>
        <v>0</v>
      </c>
      <c r="AY143" s="149">
        <f t="shared" si="153"/>
        <v>0</v>
      </c>
      <c r="BA143" s="149" t="s">
        <v>272</v>
      </c>
      <c r="BB143" s="149">
        <f>(W143+W97+W42)/10^6</f>
        <v>1.38E-2</v>
      </c>
    </row>
    <row r="144" spans="2:54" x14ac:dyDescent="0.15">
      <c r="B144" s="142" t="s">
        <v>273</v>
      </c>
      <c r="C144" s="114">
        <v>0</v>
      </c>
      <c r="D144" s="114">
        <v>21221.439231074284</v>
      </c>
      <c r="E144" s="114">
        <v>90257.279121704836</v>
      </c>
      <c r="F144" s="114">
        <v>15833.425518148235</v>
      </c>
      <c r="G144" s="114">
        <v>11006.12333284632</v>
      </c>
      <c r="H144">
        <f t="shared" si="125"/>
        <v>0</v>
      </c>
      <c r="I144" s="138">
        <f t="shared" si="126"/>
        <v>0</v>
      </c>
      <c r="J144">
        <v>0</v>
      </c>
      <c r="K144" s="114">
        <v>60179.110747010083</v>
      </c>
      <c r="L144" s="114">
        <v>21221.439231074284</v>
      </c>
      <c r="M144" s="114">
        <v>53446.645864206555</v>
      </c>
      <c r="N144" s="114">
        <v>21042.388491160695</v>
      </c>
      <c r="O144" s="114">
        <v>7667.7694057732051</v>
      </c>
      <c r="P144" s="114">
        <v>18734.099858765909</v>
      </c>
      <c r="Q144" s="114">
        <v>18734.099858765909</v>
      </c>
      <c r="R144" s="114">
        <v>18734.099858765909</v>
      </c>
      <c r="S144" s="114"/>
      <c r="T144" s="114">
        <v>56202.299576297723</v>
      </c>
      <c r="U144" s="114">
        <v>358077.9205192962</v>
      </c>
      <c r="V144" s="114">
        <v>396494.51326417737</v>
      </c>
      <c r="W144" s="114">
        <v>235593.07883367076</v>
      </c>
      <c r="X144" s="114">
        <v>19105.813383147921</v>
      </c>
      <c r="Y144" s="114">
        <v>14513.318966416899</v>
      </c>
      <c r="Z144" s="114">
        <v>22583.167226732901</v>
      </c>
      <c r="AA144" s="114">
        <v>0</v>
      </c>
      <c r="AB144" s="114">
        <v>0</v>
      </c>
      <c r="AC144" s="114">
        <v>0</v>
      </c>
      <c r="AD144" s="114">
        <v>0</v>
      </c>
      <c r="AE144" s="114">
        <v>0</v>
      </c>
      <c r="AF144" s="114">
        <v>0</v>
      </c>
      <c r="AH144" s="149"/>
      <c r="AI144" s="149" t="s">
        <v>273</v>
      </c>
      <c r="AJ144" s="149">
        <f t="shared" si="152"/>
        <v>0</v>
      </c>
      <c r="AK144" s="149">
        <f t="shared" si="152"/>
        <v>2.6915439231074284E-2</v>
      </c>
      <c r="AL144" s="149">
        <f t="shared" si="152"/>
        <v>0.10441827912170483</v>
      </c>
      <c r="AM144" s="149">
        <f t="shared" si="152"/>
        <v>1.5833425518148234E-2</v>
      </c>
      <c r="AN144" s="149">
        <f t="shared" si="152"/>
        <v>1.100612333284632E-2</v>
      </c>
      <c r="AO144" s="149">
        <f t="shared" si="152"/>
        <v>2E-3</v>
      </c>
      <c r="AP144" s="149">
        <f t="shared" si="152"/>
        <v>0</v>
      </c>
      <c r="AQ144" s="149">
        <f t="shared" ref="AQ144:AY144" si="154">(J144+J43+J98)/10^6</f>
        <v>0</v>
      </c>
      <c r="AR144" s="149">
        <f t="shared" si="154"/>
        <v>8.504911074701009E-2</v>
      </c>
      <c r="AS144" s="149">
        <f t="shared" si="154"/>
        <v>2.6915439231074284E-2</v>
      </c>
      <c r="AT144" s="149">
        <f t="shared" si="154"/>
        <v>6.2106645864206556E-2</v>
      </c>
      <c r="AU144" s="149">
        <f t="shared" si="154"/>
        <v>2.5182388491160695E-2</v>
      </c>
      <c r="AV144" s="149">
        <f t="shared" si="154"/>
        <v>8.559769405773205E-3</v>
      </c>
      <c r="AW144" s="149">
        <f t="shared" si="154"/>
        <v>2.1456766525432578E-2</v>
      </c>
      <c r="AX144" s="149">
        <f t="shared" si="154"/>
        <v>2.1456766525432578E-2</v>
      </c>
      <c r="AY144" s="149">
        <f t="shared" si="154"/>
        <v>2.1456766525432578E-2</v>
      </c>
      <c r="BA144" s="149" t="s">
        <v>273</v>
      </c>
      <c r="BB144" s="149">
        <f>(W144+W98+W43)/10^6</f>
        <v>0.29021807883367079</v>
      </c>
    </row>
    <row r="145" spans="2:54" x14ac:dyDescent="0.15">
      <c r="B145" s="142" t="s">
        <v>274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125"/>
        <v>0</v>
      </c>
      <c r="I145" s="138">
        <f t="shared" si="126"/>
        <v>0</v>
      </c>
      <c r="J145">
        <f>AE145+AD145</f>
        <v>0</v>
      </c>
      <c r="K145" s="138">
        <v>0</v>
      </c>
      <c r="L145" s="138">
        <v>0</v>
      </c>
      <c r="M145" s="138">
        <v>0</v>
      </c>
      <c r="N145" s="138">
        <v>0</v>
      </c>
      <c r="O145" s="138">
        <v>0</v>
      </c>
      <c r="P145" s="114">
        <f t="shared" si="149"/>
        <v>0</v>
      </c>
      <c r="Q145" s="114">
        <f t="shared" si="133"/>
        <v>0</v>
      </c>
      <c r="R145" s="114">
        <f t="shared" si="133"/>
        <v>0</v>
      </c>
      <c r="T145">
        <f t="shared" si="150"/>
        <v>0</v>
      </c>
      <c r="U145">
        <f t="shared" si="151"/>
        <v>0</v>
      </c>
      <c r="V145" s="138">
        <v>0</v>
      </c>
      <c r="W145" s="138">
        <v>0</v>
      </c>
      <c r="X145" s="138">
        <v>0</v>
      </c>
      <c r="Y145" s="138">
        <v>0</v>
      </c>
      <c r="Z145" s="138">
        <v>0</v>
      </c>
      <c r="AA145" s="138">
        <v>0</v>
      </c>
      <c r="AB145" s="138">
        <v>0</v>
      </c>
      <c r="AC145" s="138">
        <v>0</v>
      </c>
      <c r="AD145" s="138">
        <v>0</v>
      </c>
      <c r="AE145" s="138">
        <v>0</v>
      </c>
      <c r="AF145" s="138">
        <v>0</v>
      </c>
      <c r="AH145" s="149"/>
      <c r="AI145" s="149" t="s">
        <v>274</v>
      </c>
      <c r="AJ145" s="149">
        <f t="shared" si="152"/>
        <v>9.8949999999999993E-3</v>
      </c>
      <c r="AK145" s="149">
        <f t="shared" si="152"/>
        <v>0</v>
      </c>
      <c r="AL145" s="149">
        <f t="shared" si="152"/>
        <v>0</v>
      </c>
      <c r="AM145" s="149">
        <f t="shared" si="152"/>
        <v>1.2E-4</v>
      </c>
      <c r="AN145" s="149">
        <f t="shared" si="152"/>
        <v>0</v>
      </c>
      <c r="AO145" s="149">
        <f t="shared" si="152"/>
        <v>0</v>
      </c>
      <c r="AP145" s="149">
        <f t="shared" si="152"/>
        <v>0</v>
      </c>
      <c r="AQ145" s="149">
        <f t="shared" ref="AQ145:AY145" si="155">(J145+J44+J99)/10^6</f>
        <v>1.6200000000000001E-4</v>
      </c>
      <c r="AR145" s="149">
        <f t="shared" si="155"/>
        <v>0</v>
      </c>
      <c r="AS145" s="149">
        <f t="shared" si="155"/>
        <v>0</v>
      </c>
      <c r="AT145" s="149">
        <f t="shared" si="155"/>
        <v>0</v>
      </c>
      <c r="AU145" s="149">
        <f t="shared" si="155"/>
        <v>9.8949999999999993E-3</v>
      </c>
      <c r="AV145" s="149">
        <f t="shared" si="155"/>
        <v>0</v>
      </c>
      <c r="AW145" s="149">
        <f t="shared" si="155"/>
        <v>0</v>
      </c>
      <c r="AX145" s="149">
        <f t="shared" si="155"/>
        <v>0</v>
      </c>
      <c r="AY145" s="149">
        <f t="shared" si="155"/>
        <v>0</v>
      </c>
      <c r="BA145" s="149" t="s">
        <v>274</v>
      </c>
      <c r="BB145" s="149">
        <f>(W145+W99+W44)/10^6</f>
        <v>1.0177E-2</v>
      </c>
    </row>
    <row r="146" spans="2:54" x14ac:dyDescent="0.15">
      <c r="B146" s="142" t="s">
        <v>275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125"/>
        <v>0</v>
      </c>
      <c r="I146" s="138">
        <f t="shared" si="126"/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H146" s="149"/>
      <c r="AI146" s="149" t="s">
        <v>275</v>
      </c>
      <c r="AJ146" s="149">
        <f t="shared" si="152"/>
        <v>1.1464E-2</v>
      </c>
      <c r="AK146" s="149">
        <f t="shared" si="152"/>
        <v>0</v>
      </c>
      <c r="AL146" s="149">
        <f t="shared" si="152"/>
        <v>0</v>
      </c>
      <c r="AM146" s="149">
        <f t="shared" si="152"/>
        <v>1.9120000000000001E-3</v>
      </c>
      <c r="AN146" s="149">
        <f t="shared" si="152"/>
        <v>0</v>
      </c>
      <c r="AO146" s="149">
        <f t="shared" si="152"/>
        <v>2.3869999999999998E-3</v>
      </c>
      <c r="AP146" s="149">
        <f t="shared" si="152"/>
        <v>1.8339999999999999E-3</v>
      </c>
      <c r="AQ146" s="149">
        <f t="shared" ref="AQ146:AY146" si="156">(J146+J45+J100)/10^6</f>
        <v>9.5500000000000001E-4</v>
      </c>
      <c r="AR146" s="149">
        <f t="shared" si="156"/>
        <v>8.1169999999999992E-3</v>
      </c>
      <c r="AS146" s="149">
        <f t="shared" si="156"/>
        <v>0</v>
      </c>
      <c r="AT146" s="149">
        <f t="shared" si="156"/>
        <v>2.7520000000000001E-3</v>
      </c>
      <c r="AU146" s="149">
        <f t="shared" si="156"/>
        <v>1.7282184105202973E-3</v>
      </c>
      <c r="AV146" s="149">
        <f t="shared" si="156"/>
        <v>0</v>
      </c>
      <c r="AW146" s="149">
        <f t="shared" si="156"/>
        <v>2.7299999999999998E-3</v>
      </c>
      <c r="AX146" s="149">
        <f t="shared" si="156"/>
        <v>2.7299999999999998E-3</v>
      </c>
      <c r="AY146" s="149">
        <f t="shared" si="156"/>
        <v>2.7299999999999998E-3</v>
      </c>
      <c r="BA146" s="149" t="s">
        <v>275</v>
      </c>
      <c r="BB146" s="149">
        <f>(W146+W100+W45)/10^6</f>
        <v>2.9614999999999999E-2</v>
      </c>
    </row>
    <row r="147" spans="2:54" x14ac:dyDescent="0.15">
      <c r="B147" s="142" t="s">
        <v>309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125"/>
        <v>0</v>
      </c>
      <c r="I147" s="138">
        <f t="shared" si="126"/>
        <v>0</v>
      </c>
      <c r="J147">
        <f t="shared" si="145"/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14">
        <f t="shared" si="149"/>
        <v>0</v>
      </c>
      <c r="Q147" s="114">
        <f t="shared" si="133"/>
        <v>0</v>
      </c>
      <c r="R147" s="114">
        <f t="shared" si="133"/>
        <v>0</v>
      </c>
      <c r="T147">
        <f t="shared" si="150"/>
        <v>0</v>
      </c>
      <c r="U147">
        <f t="shared" si="151"/>
        <v>0</v>
      </c>
      <c r="V147" s="138">
        <v>0</v>
      </c>
      <c r="W147" s="138">
        <v>0</v>
      </c>
      <c r="X147" s="138">
        <v>0</v>
      </c>
      <c r="Y147" s="138">
        <v>0</v>
      </c>
      <c r="Z147" s="138">
        <v>0</v>
      </c>
      <c r="AA147" s="138">
        <v>0</v>
      </c>
      <c r="AB147" s="138">
        <v>0</v>
      </c>
      <c r="AC147" s="138">
        <v>0</v>
      </c>
      <c r="AD147" s="138">
        <v>0</v>
      </c>
      <c r="AE147" s="138">
        <v>0</v>
      </c>
      <c r="AF147" s="138">
        <v>0</v>
      </c>
      <c r="AH147" s="149"/>
      <c r="AI147" s="149" t="s">
        <v>309</v>
      </c>
      <c r="AJ147" s="149">
        <f t="shared" si="152"/>
        <v>6.3160000000000004E-3</v>
      </c>
      <c r="AK147" s="149">
        <f t="shared" si="152"/>
        <v>0</v>
      </c>
      <c r="AL147" s="149">
        <f t="shared" si="152"/>
        <v>0</v>
      </c>
      <c r="AM147" s="149">
        <f t="shared" si="152"/>
        <v>1.0529999999999999E-3</v>
      </c>
      <c r="AN147" s="149">
        <f t="shared" si="152"/>
        <v>0</v>
      </c>
      <c r="AO147" s="149">
        <f t="shared" si="152"/>
        <v>1.3159999999999999E-3</v>
      </c>
      <c r="AP147" s="149">
        <f t="shared" si="152"/>
        <v>1.011E-3</v>
      </c>
      <c r="AQ147" s="149">
        <f t="shared" ref="AQ147:AY147" si="157">(J147+J46+J101)/10^6</f>
        <v>5.2599999999999999E-4</v>
      </c>
      <c r="AR147" s="149">
        <f t="shared" si="157"/>
        <v>4.4720000000000003E-3</v>
      </c>
      <c r="AS147" s="149">
        <f t="shared" si="157"/>
        <v>0</v>
      </c>
      <c r="AT147" s="149">
        <f t="shared" si="157"/>
        <v>1.516E-3</v>
      </c>
      <c r="AU147" s="149">
        <f t="shared" si="157"/>
        <v>9.2378158947970272E-4</v>
      </c>
      <c r="AV147" s="149">
        <f t="shared" si="157"/>
        <v>0</v>
      </c>
      <c r="AW147" s="149">
        <f t="shared" si="157"/>
        <v>1.5926666666666665E-3</v>
      </c>
      <c r="AX147" s="149">
        <f t="shared" si="157"/>
        <v>1.5926666666666665E-3</v>
      </c>
      <c r="AY147" s="149">
        <f t="shared" si="157"/>
        <v>1.5926666666666665E-3</v>
      </c>
      <c r="BA147" s="149" t="s">
        <v>309</v>
      </c>
      <c r="BB147" s="149">
        <f>(W147+W101+W46)/10^6</f>
        <v>1.6316000000000001E-2</v>
      </c>
    </row>
    <row r="148" spans="2:54" x14ac:dyDescent="0.15">
      <c r="B148" s="121" t="s">
        <v>221</v>
      </c>
      <c r="C148" s="121">
        <f>SUM(C129:C142)</f>
        <v>300687</v>
      </c>
      <c r="D148" s="121">
        <f t="shared" ref="D148:K148" si="158">SUM(D129:D142)</f>
        <v>88081.560768925716</v>
      </c>
      <c r="E148" s="121">
        <f t="shared" si="158"/>
        <v>34648.720878295164</v>
      </c>
      <c r="F148" s="121">
        <f t="shared" si="158"/>
        <v>133026.57448185177</v>
      </c>
      <c r="G148" s="121">
        <f t="shared" si="158"/>
        <v>53841.87666715368</v>
      </c>
      <c r="H148" s="155">
        <f>SUM(H129:H147)</f>
        <v>17202</v>
      </c>
      <c r="I148" s="155">
        <f>SUM(I129:I147)</f>
        <v>51246</v>
      </c>
      <c r="J148" s="121">
        <f t="shared" si="158"/>
        <v>37429</v>
      </c>
      <c r="K148" s="121">
        <f t="shared" si="158"/>
        <v>173360.8892529899</v>
      </c>
      <c r="L148" s="121">
        <f>SUM(L129:L142)</f>
        <v>73081.560768925716</v>
      </c>
      <c r="M148" s="121">
        <f>SUM(M129:M142)</f>
        <v>186596.35413579346</v>
      </c>
      <c r="N148" s="121">
        <f>SUM(N129:N142)</f>
        <v>68784.611508839298</v>
      </c>
      <c r="O148" s="121">
        <f>SUM(O129:O142)</f>
        <v>16794.230594226796</v>
      </c>
      <c r="P148" s="139">
        <f>$T148/3</f>
        <v>66945.566807900759</v>
      </c>
      <c r="Q148" s="139">
        <f t="shared" si="133"/>
        <v>66945.566807900759</v>
      </c>
      <c r="R148" s="139">
        <f t="shared" si="133"/>
        <v>66945.566807900759</v>
      </c>
      <c r="T148" s="121">
        <f>X148+Y148+Z148+AF148</f>
        <v>200836.70042370228</v>
      </c>
      <c r="U148" s="121">
        <f>SUM(C148:R148)</f>
        <v>1435617.0794807039</v>
      </c>
      <c r="V148" s="155">
        <f t="shared" ref="V148:AF148" si="159">SUM(V129:V142)</f>
        <v>1625625.4867358226</v>
      </c>
      <c r="W148" s="121">
        <f t="shared" si="159"/>
        <v>973206.92116632918</v>
      </c>
      <c r="X148" s="121">
        <f t="shared" si="159"/>
        <v>70207.186616852079</v>
      </c>
      <c r="Y148" s="121">
        <f t="shared" si="159"/>
        <v>4117.6810335831015</v>
      </c>
      <c r="Z148" s="121">
        <f t="shared" si="159"/>
        <v>56981.832773267102</v>
      </c>
      <c r="AA148" s="121">
        <f t="shared" si="159"/>
        <v>7036</v>
      </c>
      <c r="AB148" s="121">
        <f t="shared" si="159"/>
        <v>10166</v>
      </c>
      <c r="AC148" s="121">
        <f t="shared" si="159"/>
        <v>51246</v>
      </c>
      <c r="AD148" s="121">
        <f t="shared" si="159"/>
        <v>37429</v>
      </c>
      <c r="AE148" s="121">
        <f t="shared" si="159"/>
        <v>0</v>
      </c>
      <c r="AF148" s="121">
        <f t="shared" si="159"/>
        <v>69530</v>
      </c>
    </row>
    <row r="149" spans="2:54" x14ac:dyDescent="0.15">
      <c r="B149" s="142" t="s">
        <v>7</v>
      </c>
      <c r="C149" s="115">
        <f>C148/$U$148</f>
        <v>0.20944791218892816</v>
      </c>
      <c r="D149" s="115">
        <f t="shared" ref="D149:R149" si="160">D148/$U$148</f>
        <v>6.1354494891344466E-2</v>
      </c>
      <c r="E149" s="115">
        <f t="shared" si="160"/>
        <v>2.4135071512821796E-2</v>
      </c>
      <c r="F149" s="115">
        <f t="shared" si="160"/>
        <v>9.2661599240634954E-2</v>
      </c>
      <c r="G149" s="115">
        <f t="shared" si="160"/>
        <v>3.7504343906684043E-2</v>
      </c>
      <c r="H149" s="115">
        <f>H148/$U$102</f>
        <v>3.6016833818387384E-2</v>
      </c>
      <c r="I149" s="115">
        <f>I148/$U$102</f>
        <v>0.10729674839304035</v>
      </c>
      <c r="J149" s="115">
        <f t="shared" si="160"/>
        <v>2.6071715456003727E-2</v>
      </c>
      <c r="K149" s="115">
        <f t="shared" si="160"/>
        <v>0.12075705404375557</v>
      </c>
      <c r="L149" s="115">
        <f t="shared" si="160"/>
        <v>5.0906026275029423E-2</v>
      </c>
      <c r="M149" s="115">
        <f t="shared" si="160"/>
        <v>0.12997641000710977</v>
      </c>
      <c r="N149" s="115">
        <f t="shared" si="160"/>
        <v>4.7912923642368682E-2</v>
      </c>
      <c r="O149" s="115">
        <f t="shared" si="160"/>
        <v>1.169826608659578E-2</v>
      </c>
      <c r="P149" s="115">
        <f t="shared" si="160"/>
        <v>4.6631910252918227E-2</v>
      </c>
      <c r="Q149" s="115">
        <f t="shared" si="160"/>
        <v>4.6631910252918227E-2</v>
      </c>
      <c r="R149" s="115">
        <f t="shared" si="160"/>
        <v>4.6631910252918227E-2</v>
      </c>
      <c r="BA149" s="36" t="s">
        <v>250</v>
      </c>
    </row>
    <row r="154" spans="2:54" x14ac:dyDescent="0.15"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showGridLines="0" tabSelected="1" topLeftCell="A11" zoomScale="85" zoomScaleNormal="85" workbookViewId="0">
      <selection activeCell="D42" sqref="D42"/>
    </sheetView>
  </sheetViews>
  <sheetFormatPr defaultRowHeight="11.25" x14ac:dyDescent="0.15"/>
  <cols>
    <col min="1" max="1" width="12" customWidth="1"/>
    <col min="2" max="2" width="14.625" customWidth="1"/>
    <col min="3" max="5" width="15" customWidth="1"/>
    <col min="6" max="6" width="18" customWidth="1"/>
    <col min="7" max="7" width="14.5" customWidth="1"/>
    <col min="8" max="8" width="11.375" customWidth="1"/>
    <col min="10" max="10" width="16.625" customWidth="1"/>
    <col min="11" max="11" width="14" customWidth="1"/>
    <col min="15" max="15" width="11.875" customWidth="1"/>
  </cols>
  <sheetData>
    <row r="1" spans="1:14" ht="19.5" x14ac:dyDescent="0.25">
      <c r="A1" s="6" t="s">
        <v>63</v>
      </c>
    </row>
    <row r="2" spans="1:14" x14ac:dyDescent="0.15">
      <c r="A2" s="5" t="s">
        <v>406</v>
      </c>
    </row>
    <row r="3" spans="1:14" x14ac:dyDescent="0.15">
      <c r="B3" s="5"/>
    </row>
    <row r="4" spans="1:14" x14ac:dyDescent="0.15">
      <c r="A4" s="45" t="s">
        <v>139</v>
      </c>
      <c r="B4" s="43"/>
      <c r="C4" s="43"/>
      <c r="D4" s="43"/>
      <c r="E4" s="44"/>
      <c r="F4" s="42" t="s">
        <v>140</v>
      </c>
      <c r="G4" s="43"/>
      <c r="H4" s="186"/>
      <c r="I4" s="12"/>
      <c r="J4" s="215"/>
      <c r="K4" s="8"/>
      <c r="L4" s="126"/>
      <c r="M4" s="8"/>
    </row>
    <row r="5" spans="1:14" x14ac:dyDescent="0.15">
      <c r="B5" s="49"/>
      <c r="C5" s="46"/>
      <c r="D5" s="46"/>
      <c r="E5" s="47"/>
      <c r="F5" s="209" t="s">
        <v>432</v>
      </c>
      <c r="G5" s="123"/>
      <c r="H5" s="8"/>
      <c r="I5" s="8"/>
      <c r="J5" s="78"/>
      <c r="K5" s="8"/>
      <c r="L5" s="8"/>
      <c r="M5" s="8"/>
    </row>
    <row r="6" spans="1:14" x14ac:dyDescent="0.15">
      <c r="A6" s="46" t="s">
        <v>459</v>
      </c>
      <c r="B6" s="51"/>
      <c r="C6" s="46"/>
      <c r="D6" s="46"/>
      <c r="E6" s="47"/>
      <c r="F6" s="181" t="s">
        <v>429</v>
      </c>
      <c r="G6" s="46"/>
      <c r="H6" s="8"/>
      <c r="I6" s="8"/>
      <c r="J6" s="78"/>
      <c r="K6" s="8"/>
      <c r="L6" s="8"/>
      <c r="M6" s="8"/>
    </row>
    <row r="7" spans="1:14" x14ac:dyDescent="0.15">
      <c r="A7" s="48" t="s">
        <v>377</v>
      </c>
      <c r="B7" s="52"/>
      <c r="C7" s="46"/>
      <c r="D7" s="46"/>
      <c r="E7" s="47"/>
      <c r="F7" s="13" t="s">
        <v>94</v>
      </c>
      <c r="G7" s="128">
        <v>1.0200761645709615</v>
      </c>
      <c r="H7" s="8"/>
      <c r="I7" s="8"/>
      <c r="J7" s="78"/>
      <c r="K7" s="8"/>
      <c r="L7" s="8"/>
      <c r="M7" s="8"/>
      <c r="N7" s="1"/>
    </row>
    <row r="8" spans="1:14" x14ac:dyDescent="0.15">
      <c r="A8" s="39" t="s">
        <v>126</v>
      </c>
      <c r="D8" s="46"/>
      <c r="E8" s="47"/>
      <c r="F8" s="50" t="s">
        <v>133</v>
      </c>
      <c r="G8" s="128">
        <v>1.0117268103267067</v>
      </c>
      <c r="H8" s="8"/>
      <c r="I8" s="8"/>
      <c r="J8" s="78"/>
      <c r="K8" s="8"/>
      <c r="L8" s="8"/>
      <c r="M8" s="8"/>
      <c r="N8" s="1"/>
    </row>
    <row r="9" spans="1:14" x14ac:dyDescent="0.15">
      <c r="A9" s="46" t="s">
        <v>379</v>
      </c>
      <c r="C9" s="46"/>
      <c r="D9" s="46"/>
      <c r="E9" s="46"/>
      <c r="F9" s="50" t="s">
        <v>96</v>
      </c>
      <c r="G9" s="128">
        <v>1.0173936834030901</v>
      </c>
      <c r="H9" s="8"/>
      <c r="I9" s="8"/>
      <c r="J9" s="78"/>
      <c r="K9" s="8"/>
      <c r="L9" s="8"/>
      <c r="M9" s="8"/>
      <c r="N9" s="1"/>
    </row>
    <row r="10" spans="1:14" x14ac:dyDescent="0.15">
      <c r="A10" s="35" t="s">
        <v>431</v>
      </c>
      <c r="B10" s="46"/>
      <c r="C10" s="46"/>
      <c r="D10" s="46"/>
      <c r="E10" s="47"/>
      <c r="F10" s="50" t="s">
        <v>193</v>
      </c>
      <c r="G10" s="133">
        <f>AVERAGE(G7:G9)</f>
        <v>1.0163988861002526</v>
      </c>
      <c r="H10" s="8"/>
      <c r="I10" s="8"/>
      <c r="J10" s="78"/>
      <c r="K10" s="1"/>
      <c r="L10" s="8"/>
      <c r="M10" s="8"/>
      <c r="N10" s="1"/>
    </row>
    <row r="11" spans="1:14" x14ac:dyDescent="0.15">
      <c r="A11" s="46"/>
      <c r="B11" s="46"/>
      <c r="C11" s="46"/>
      <c r="D11" s="46"/>
      <c r="E11" s="47"/>
      <c r="F11" s="50" t="s">
        <v>308</v>
      </c>
      <c r="G11" s="46">
        <v>40</v>
      </c>
      <c r="H11" s="8"/>
      <c r="I11" s="8"/>
      <c r="J11" s="78"/>
      <c r="K11" s="8"/>
      <c r="L11" s="8"/>
      <c r="M11" s="8"/>
      <c r="N11" s="1"/>
    </row>
    <row r="12" spans="1:14" x14ac:dyDescent="0.15">
      <c r="B12" s="46"/>
      <c r="C12" s="46"/>
      <c r="D12" s="46"/>
      <c r="E12" s="47"/>
      <c r="F12" s="13"/>
      <c r="G12" s="1"/>
      <c r="H12" s="8"/>
      <c r="I12" s="8"/>
      <c r="J12" s="78"/>
      <c r="K12" s="8"/>
      <c r="L12" s="8"/>
      <c r="M12" s="8"/>
      <c r="N12" s="1"/>
    </row>
    <row r="13" spans="1:14" x14ac:dyDescent="0.15">
      <c r="E13" s="47"/>
      <c r="F13" s="13"/>
      <c r="G13" s="1"/>
      <c r="H13" s="8"/>
      <c r="I13" s="8"/>
      <c r="J13" s="78"/>
      <c r="K13" s="8"/>
      <c r="L13" s="8"/>
      <c r="M13" s="8"/>
      <c r="N13" s="1"/>
    </row>
    <row r="14" spans="1:14" x14ac:dyDescent="0.15">
      <c r="A14" s="46" t="s">
        <v>380</v>
      </c>
      <c r="E14" s="47"/>
      <c r="F14" s="13"/>
      <c r="G14" s="1"/>
      <c r="H14" s="8"/>
      <c r="I14" s="8"/>
      <c r="J14" s="78"/>
      <c r="K14" s="8"/>
      <c r="L14" s="8"/>
      <c r="M14" s="8"/>
      <c r="N14" s="1"/>
    </row>
    <row r="15" spans="1:14" x14ac:dyDescent="0.15">
      <c r="A15" s="46" t="s">
        <v>364</v>
      </c>
      <c r="B15" t="s">
        <v>251</v>
      </c>
      <c r="C15" t="s">
        <v>252</v>
      </c>
      <c r="D15" s="46"/>
      <c r="E15" s="47"/>
      <c r="F15" s="13"/>
      <c r="G15" s="1"/>
      <c r="H15" s="8"/>
      <c r="I15" s="8"/>
      <c r="J15" s="78"/>
      <c r="K15" s="8"/>
      <c r="L15" s="8"/>
      <c r="M15" s="8"/>
      <c r="N15" s="1"/>
    </row>
    <row r="16" spans="1:14" x14ac:dyDescent="0.15">
      <c r="A16" t="s">
        <v>253</v>
      </c>
      <c r="B16" t="s">
        <v>254</v>
      </c>
      <c r="C16" t="s">
        <v>255</v>
      </c>
      <c r="D16" s="46"/>
      <c r="E16" s="47"/>
      <c r="F16" s="50"/>
      <c r="G16" s="46"/>
      <c r="H16" s="8"/>
      <c r="I16" s="8"/>
      <c r="J16" s="78"/>
      <c r="K16" s="8"/>
      <c r="L16" s="8"/>
      <c r="M16" s="8"/>
      <c r="N16" s="1"/>
    </row>
    <row r="17" spans="1:19" x14ac:dyDescent="0.15">
      <c r="D17" s="46"/>
      <c r="E17" s="47"/>
      <c r="F17" s="50"/>
      <c r="G17" s="46"/>
      <c r="H17" s="8"/>
      <c r="I17" s="8"/>
      <c r="J17" s="78"/>
      <c r="K17" s="8"/>
      <c r="L17" s="8"/>
      <c r="M17" s="8"/>
      <c r="N17" s="1"/>
    </row>
    <row r="18" spans="1:19" x14ac:dyDescent="0.15">
      <c r="A18" s="53"/>
      <c r="B18" s="53"/>
      <c r="C18" s="53"/>
      <c r="D18" s="53"/>
      <c r="E18" s="54"/>
      <c r="F18" s="55"/>
      <c r="G18" s="53"/>
      <c r="H18" s="16"/>
      <c r="I18" s="16"/>
      <c r="J18" s="17"/>
      <c r="K18" s="1"/>
      <c r="L18" s="1"/>
      <c r="M18" s="1"/>
      <c r="N18" s="1"/>
    </row>
    <row r="19" spans="1:19" x14ac:dyDescent="0.15">
      <c r="B19" s="5"/>
      <c r="F19" s="39"/>
      <c r="K19" s="1"/>
      <c r="L19" s="1"/>
      <c r="M19" s="1"/>
      <c r="N19" s="1"/>
      <c r="P19" s="1"/>
      <c r="Q19" s="1"/>
      <c r="R19" s="1"/>
      <c r="S19" s="1"/>
    </row>
    <row r="20" spans="1:19" ht="45" x14ac:dyDescent="0.15">
      <c r="A20" s="165" t="s">
        <v>381</v>
      </c>
      <c r="B20" s="22" t="s">
        <v>57</v>
      </c>
      <c r="C20" s="22" t="s">
        <v>373</v>
      </c>
      <c r="D20" s="22" t="s">
        <v>374</v>
      </c>
      <c r="E20" s="22" t="s">
        <v>372</v>
      </c>
      <c r="F20" s="22" t="s">
        <v>375</v>
      </c>
      <c r="G20" s="22" t="s">
        <v>118</v>
      </c>
      <c r="H20" s="22" t="s">
        <v>40</v>
      </c>
      <c r="I20" s="22" t="s">
        <v>41</v>
      </c>
      <c r="J20" s="69" t="s">
        <v>145</v>
      </c>
      <c r="K20" s="8"/>
      <c r="L20" s="8"/>
      <c r="M20" s="8"/>
      <c r="N20" s="8"/>
      <c r="O20" s="8"/>
      <c r="P20" s="8"/>
      <c r="Q20" s="8"/>
      <c r="R20" s="1"/>
      <c r="S20" s="1"/>
    </row>
    <row r="21" spans="1:19" x14ac:dyDescent="0.15">
      <c r="B21" s="20" t="s">
        <v>42</v>
      </c>
      <c r="C21" s="2" t="s">
        <v>42</v>
      </c>
      <c r="D21" s="2" t="s">
        <v>42</v>
      </c>
      <c r="E21" s="2" t="s">
        <v>42</v>
      </c>
      <c r="F21" s="2" t="s">
        <v>42</v>
      </c>
      <c r="G21" t="s">
        <v>42</v>
      </c>
      <c r="H21" s="2" t="s">
        <v>6</v>
      </c>
      <c r="I21" s="2" t="s">
        <v>8</v>
      </c>
      <c r="J21" s="68" t="s">
        <v>371</v>
      </c>
      <c r="K21" s="8"/>
      <c r="L21" s="8"/>
      <c r="M21" s="8"/>
      <c r="N21" s="8"/>
      <c r="O21" s="8"/>
      <c r="P21" s="8"/>
      <c r="Q21" s="8"/>
      <c r="R21" s="8"/>
      <c r="S21" s="1"/>
    </row>
    <row r="22" spans="1:19" ht="12" thickBot="1" x14ac:dyDescent="0.2">
      <c r="A22" s="57" t="s">
        <v>464</v>
      </c>
      <c r="B22" s="60" t="s">
        <v>60</v>
      </c>
      <c r="C22" s="61" t="s">
        <v>64</v>
      </c>
      <c r="D22" s="61" t="s">
        <v>66</v>
      </c>
      <c r="E22" s="61" t="s">
        <v>328</v>
      </c>
      <c r="F22" s="61" t="s">
        <v>65</v>
      </c>
      <c r="G22" s="62" t="s">
        <v>138</v>
      </c>
      <c r="H22" s="89" t="s">
        <v>5</v>
      </c>
      <c r="I22" s="61" t="s">
        <v>4</v>
      </c>
      <c r="J22" s="13" t="s">
        <v>144</v>
      </c>
      <c r="K22" s="126"/>
      <c r="L22" s="8"/>
      <c r="M22" s="126"/>
      <c r="N22" s="8"/>
      <c r="O22" s="126"/>
      <c r="P22" s="8"/>
      <c r="Q22" s="126"/>
      <c r="R22" s="126"/>
      <c r="S22" s="8"/>
    </row>
    <row r="23" spans="1:19" x14ac:dyDescent="0.15">
      <c r="A23" s="59" t="s">
        <v>142</v>
      </c>
      <c r="B23" s="1" t="s">
        <v>82</v>
      </c>
      <c r="C23" s="1" t="s">
        <v>70</v>
      </c>
      <c r="D23" s="1" t="s">
        <v>70</v>
      </c>
      <c r="E23" s="8" t="s">
        <v>112</v>
      </c>
      <c r="F23" t="s">
        <v>94</v>
      </c>
      <c r="G23" t="s">
        <v>171</v>
      </c>
      <c r="H23" s="35">
        <v>2E-3</v>
      </c>
      <c r="I23" s="8">
        <v>0.55000000000000004</v>
      </c>
      <c r="J23" s="13">
        <v>127</v>
      </c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15">
      <c r="A24" s="59"/>
      <c r="B24" s="1" t="s">
        <v>83</v>
      </c>
      <c r="C24" s="1" t="s">
        <v>71</v>
      </c>
      <c r="D24" s="1" t="s">
        <v>71</v>
      </c>
      <c r="E24" s="8" t="s">
        <v>112</v>
      </c>
      <c r="F24" t="s">
        <v>94</v>
      </c>
      <c r="G24" t="s">
        <v>171</v>
      </c>
      <c r="H24" s="1">
        <v>2E-3</v>
      </c>
      <c r="I24" s="8">
        <v>0.55000000000000004</v>
      </c>
      <c r="J24" s="13">
        <v>669</v>
      </c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15">
      <c r="A25" s="59"/>
      <c r="B25" t="s">
        <v>132</v>
      </c>
      <c r="C25" t="s">
        <v>72</v>
      </c>
      <c r="D25" t="s">
        <v>72</v>
      </c>
      <c r="E25" t="s">
        <v>111</v>
      </c>
      <c r="F25" t="s">
        <v>95</v>
      </c>
      <c r="G25" t="s">
        <v>170</v>
      </c>
      <c r="H25" s="1">
        <v>2E-3</v>
      </c>
      <c r="I25" s="8">
        <v>0.55000000000000004</v>
      </c>
      <c r="J25" s="13">
        <v>495</v>
      </c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15">
      <c r="A26" s="59"/>
      <c r="B26" t="s">
        <v>131</v>
      </c>
      <c r="C26" t="s">
        <v>72</v>
      </c>
      <c r="D26" t="s">
        <v>72</v>
      </c>
      <c r="E26" t="s">
        <v>113</v>
      </c>
      <c r="F26" t="s">
        <v>133</v>
      </c>
      <c r="G26" t="s">
        <v>166</v>
      </c>
      <c r="H26" s="1">
        <v>2E-3</v>
      </c>
      <c r="I26" s="8">
        <v>0.55000000000000004</v>
      </c>
      <c r="J26" s="67">
        <v>154</v>
      </c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15">
      <c r="A27" s="59"/>
      <c r="B27" t="s">
        <v>84</v>
      </c>
      <c r="C27" t="s">
        <v>73</v>
      </c>
      <c r="D27" t="s">
        <v>73</v>
      </c>
      <c r="E27" t="s">
        <v>114</v>
      </c>
      <c r="F27" t="s">
        <v>97</v>
      </c>
      <c r="G27" t="s">
        <v>168</v>
      </c>
      <c r="H27" s="1">
        <v>2E-3</v>
      </c>
      <c r="I27" s="8">
        <v>0.55000000000000004</v>
      </c>
      <c r="J27" s="13">
        <v>309</v>
      </c>
      <c r="K27" s="8"/>
      <c r="L27" s="8"/>
      <c r="M27" s="8"/>
      <c r="N27" s="8"/>
      <c r="O27" s="8"/>
      <c r="P27" s="8"/>
      <c r="Q27" s="8"/>
      <c r="R27" s="37"/>
      <c r="S27" s="37"/>
    </row>
    <row r="28" spans="1:19" x14ac:dyDescent="0.15">
      <c r="A28" s="59"/>
      <c r="B28" t="s">
        <v>85</v>
      </c>
      <c r="C28" t="s">
        <v>74</v>
      </c>
      <c r="D28" t="s">
        <v>74</v>
      </c>
      <c r="E28" t="s">
        <v>127</v>
      </c>
      <c r="F28" t="s">
        <v>96</v>
      </c>
      <c r="G28" t="s">
        <v>169</v>
      </c>
      <c r="H28" s="1">
        <v>2E-3</v>
      </c>
      <c r="I28" s="8">
        <v>0.55000000000000004</v>
      </c>
      <c r="J28" s="67">
        <v>120</v>
      </c>
      <c r="K28" s="8"/>
      <c r="L28" s="8"/>
      <c r="M28" s="8"/>
      <c r="N28" s="8"/>
      <c r="O28" s="8"/>
      <c r="P28" s="8"/>
      <c r="Q28" s="8"/>
      <c r="R28" s="37"/>
      <c r="S28" s="37"/>
    </row>
    <row r="29" spans="1:19" x14ac:dyDescent="0.15">
      <c r="A29" s="59"/>
      <c r="B29" t="s">
        <v>86</v>
      </c>
      <c r="C29" t="s">
        <v>75</v>
      </c>
      <c r="D29" t="s">
        <v>75</v>
      </c>
      <c r="E29" t="s">
        <v>114</v>
      </c>
      <c r="F29" t="s">
        <v>97</v>
      </c>
      <c r="G29" t="s">
        <v>168</v>
      </c>
      <c r="H29" s="1">
        <v>2E-3</v>
      </c>
      <c r="I29" s="8">
        <v>0.55000000000000004</v>
      </c>
      <c r="J29" s="13">
        <v>649</v>
      </c>
      <c r="K29" s="8"/>
      <c r="L29" s="8"/>
      <c r="M29" s="8"/>
      <c r="N29" s="8"/>
      <c r="O29" s="8"/>
      <c r="P29" s="8"/>
      <c r="Q29" s="8"/>
      <c r="R29" s="37"/>
      <c r="S29" s="37"/>
    </row>
    <row r="30" spans="1:19" x14ac:dyDescent="0.15">
      <c r="A30" s="59"/>
      <c r="B30" t="s">
        <v>303</v>
      </c>
      <c r="C30" t="s">
        <v>281</v>
      </c>
      <c r="D30" t="s">
        <v>281</v>
      </c>
      <c r="E30" t="s">
        <v>127</v>
      </c>
      <c r="F30" t="s">
        <v>96</v>
      </c>
      <c r="G30" t="s">
        <v>169</v>
      </c>
      <c r="H30" s="1">
        <v>2E-3</v>
      </c>
      <c r="I30" s="8">
        <v>0.55000000000000004</v>
      </c>
      <c r="J30" s="13">
        <v>626</v>
      </c>
      <c r="K30" s="8"/>
      <c r="L30" s="8"/>
      <c r="M30" s="8"/>
      <c r="N30" s="8"/>
      <c r="O30" s="8"/>
      <c r="P30" s="8"/>
      <c r="Q30" s="8"/>
      <c r="R30" s="37"/>
      <c r="S30" s="37"/>
    </row>
    <row r="31" spans="1:19" x14ac:dyDescent="0.15">
      <c r="A31" s="59"/>
      <c r="B31" t="s">
        <v>88</v>
      </c>
      <c r="C31" t="s">
        <v>76</v>
      </c>
      <c r="D31" t="s">
        <v>76</v>
      </c>
      <c r="E31" s="1" t="s">
        <v>109</v>
      </c>
      <c r="F31" s="1" t="s">
        <v>98</v>
      </c>
      <c r="G31" s="1" t="s">
        <v>167</v>
      </c>
      <c r="H31" s="1">
        <v>2E-3</v>
      </c>
      <c r="I31" s="8">
        <v>0.55000000000000004</v>
      </c>
      <c r="J31" s="13">
        <v>10</v>
      </c>
      <c r="K31" s="8"/>
      <c r="L31" s="8"/>
      <c r="M31" s="8"/>
      <c r="N31" s="8"/>
      <c r="O31" s="8"/>
      <c r="P31" s="8"/>
      <c r="Q31" s="8"/>
      <c r="R31" s="37"/>
      <c r="S31" s="37"/>
    </row>
    <row r="32" spans="1:19" x14ac:dyDescent="0.15">
      <c r="A32" s="59"/>
      <c r="B32" t="s">
        <v>89</v>
      </c>
      <c r="C32" t="s">
        <v>77</v>
      </c>
      <c r="D32" t="s">
        <v>77</v>
      </c>
      <c r="E32" t="s">
        <v>127</v>
      </c>
      <c r="F32" t="s">
        <v>96</v>
      </c>
      <c r="G32" t="s">
        <v>169</v>
      </c>
      <c r="H32" s="1">
        <v>2E-3</v>
      </c>
      <c r="I32" s="8">
        <v>0.55000000000000004</v>
      </c>
      <c r="J32" s="67">
        <v>3</v>
      </c>
      <c r="K32" s="8"/>
      <c r="L32" s="8"/>
      <c r="M32" s="8"/>
      <c r="N32" s="8"/>
      <c r="O32" s="8"/>
      <c r="P32" s="8"/>
      <c r="Q32" s="8"/>
      <c r="R32" s="37"/>
      <c r="S32" s="37"/>
    </row>
    <row r="33" spans="1:19" x14ac:dyDescent="0.15">
      <c r="A33" s="59"/>
      <c r="B33" t="s">
        <v>90</v>
      </c>
      <c r="C33" t="s">
        <v>78</v>
      </c>
      <c r="D33" t="s">
        <v>78</v>
      </c>
      <c r="E33" s="1" t="s">
        <v>109</v>
      </c>
      <c r="F33" s="1" t="s">
        <v>98</v>
      </c>
      <c r="G33" s="1" t="s">
        <v>167</v>
      </c>
      <c r="H33" s="1">
        <v>2E-3</v>
      </c>
      <c r="I33" s="8">
        <v>0.55000000000000004</v>
      </c>
      <c r="J33" s="13">
        <v>14</v>
      </c>
      <c r="K33" s="8"/>
      <c r="L33" s="8"/>
      <c r="M33" s="8"/>
      <c r="N33" s="8"/>
      <c r="O33" s="8"/>
      <c r="P33" s="8"/>
      <c r="Q33" s="8"/>
      <c r="R33" s="37"/>
      <c r="S33" s="37"/>
    </row>
    <row r="34" spans="1:19" x14ac:dyDescent="0.15">
      <c r="A34" s="59"/>
      <c r="B34" t="s">
        <v>91</v>
      </c>
      <c r="C34" t="s">
        <v>79</v>
      </c>
      <c r="D34" t="s">
        <v>79</v>
      </c>
      <c r="E34" s="1" t="s">
        <v>109</v>
      </c>
      <c r="F34" s="1" t="s">
        <v>98</v>
      </c>
      <c r="G34" s="1" t="s">
        <v>167</v>
      </c>
      <c r="H34" s="1">
        <v>2E-3</v>
      </c>
      <c r="I34" s="8">
        <v>0.55000000000000004</v>
      </c>
      <c r="J34" s="13">
        <v>15</v>
      </c>
      <c r="K34" s="8"/>
      <c r="L34" s="8"/>
      <c r="M34" s="8"/>
      <c r="N34" s="8"/>
      <c r="O34" s="8"/>
      <c r="P34" s="8"/>
      <c r="Q34" s="8"/>
      <c r="R34" s="37"/>
      <c r="S34" s="37"/>
    </row>
    <row r="35" spans="1:19" x14ac:dyDescent="0.15">
      <c r="A35" s="59"/>
      <c r="B35" t="s">
        <v>92</v>
      </c>
      <c r="C35" t="s">
        <v>80</v>
      </c>
      <c r="D35" t="s">
        <v>80</v>
      </c>
      <c r="E35" s="1" t="s">
        <v>109</v>
      </c>
      <c r="F35" s="1" t="s">
        <v>98</v>
      </c>
      <c r="G35" s="1" t="s">
        <v>167</v>
      </c>
      <c r="H35" s="1">
        <v>2E-3</v>
      </c>
      <c r="I35" s="8">
        <v>0.55000000000000004</v>
      </c>
      <c r="J35" s="13">
        <v>38</v>
      </c>
      <c r="K35" s="8"/>
      <c r="L35" s="8"/>
      <c r="M35" s="8"/>
      <c r="N35" s="8"/>
      <c r="O35" s="8"/>
      <c r="P35" s="8"/>
      <c r="Q35" s="8"/>
      <c r="R35" s="37"/>
      <c r="S35" s="37"/>
    </row>
    <row r="36" spans="1:19" x14ac:dyDescent="0.15">
      <c r="A36" s="59"/>
      <c r="B36" t="s">
        <v>93</v>
      </c>
      <c r="C36" t="s">
        <v>81</v>
      </c>
      <c r="D36" t="s">
        <v>81</v>
      </c>
      <c r="E36" t="s">
        <v>127</v>
      </c>
      <c r="F36" t="s">
        <v>96</v>
      </c>
      <c r="G36" t="s">
        <v>169</v>
      </c>
      <c r="H36" s="1">
        <v>2E-3</v>
      </c>
      <c r="I36" s="8">
        <v>0.55000000000000004</v>
      </c>
      <c r="J36" s="13">
        <v>5</v>
      </c>
      <c r="K36" s="8"/>
      <c r="L36" s="8"/>
      <c r="M36" s="8"/>
      <c r="N36" s="8"/>
      <c r="O36" s="8"/>
      <c r="P36" s="8"/>
      <c r="Q36" s="8"/>
      <c r="R36" s="37"/>
      <c r="S36" s="37"/>
    </row>
    <row r="37" spans="1:19" x14ac:dyDescent="0.15">
      <c r="A37" s="59"/>
      <c r="B37" t="s">
        <v>272</v>
      </c>
      <c r="C37" t="s">
        <v>75</v>
      </c>
      <c r="D37" t="s">
        <v>75</v>
      </c>
      <c r="E37" s="1" t="s">
        <v>110</v>
      </c>
      <c r="F37" t="s">
        <v>189</v>
      </c>
      <c r="G37" s="58" t="s">
        <v>168</v>
      </c>
      <c r="H37" s="1">
        <v>2E-3</v>
      </c>
      <c r="I37" s="8">
        <v>0.55000000000000004</v>
      </c>
      <c r="J37" s="13"/>
      <c r="K37" s="8"/>
      <c r="L37" s="8"/>
      <c r="M37" s="8"/>
      <c r="N37" s="8"/>
      <c r="O37" s="8"/>
      <c r="P37" s="8"/>
      <c r="Q37" s="8"/>
      <c r="R37" s="37"/>
      <c r="S37" s="37"/>
    </row>
    <row r="38" spans="1:19" x14ac:dyDescent="0.15">
      <c r="A38" s="59"/>
      <c r="B38" t="s">
        <v>273</v>
      </c>
      <c r="C38" t="s">
        <v>300</v>
      </c>
      <c r="D38" t="s">
        <v>300</v>
      </c>
      <c r="E38" t="s">
        <v>111</v>
      </c>
      <c r="F38" t="s">
        <v>95</v>
      </c>
      <c r="G38" t="s">
        <v>170</v>
      </c>
      <c r="H38" s="1">
        <v>2E-3</v>
      </c>
      <c r="I38" s="8">
        <v>0.55000000000000004</v>
      </c>
      <c r="J38" s="13"/>
      <c r="K38" s="8"/>
      <c r="L38" s="8"/>
      <c r="M38" s="8"/>
      <c r="N38" s="8"/>
      <c r="O38" s="8"/>
      <c r="P38" s="8"/>
      <c r="Q38" s="8"/>
      <c r="R38" s="37"/>
      <c r="S38" s="37"/>
    </row>
    <row r="39" spans="1:19" x14ac:dyDescent="0.15">
      <c r="A39" s="59"/>
      <c r="B39" t="s">
        <v>274</v>
      </c>
      <c r="C39" t="s">
        <v>137</v>
      </c>
      <c r="D39" t="s">
        <v>137</v>
      </c>
      <c r="E39" t="s">
        <v>127</v>
      </c>
      <c r="F39" t="s">
        <v>96</v>
      </c>
      <c r="G39" t="s">
        <v>169</v>
      </c>
      <c r="H39" s="1">
        <v>2E-3</v>
      </c>
      <c r="I39" s="8">
        <v>0.55000000000000004</v>
      </c>
      <c r="J39" s="13"/>
      <c r="K39" s="8"/>
      <c r="L39" s="8"/>
      <c r="M39" s="8"/>
      <c r="N39" s="8"/>
      <c r="O39" s="8"/>
      <c r="P39" s="8"/>
      <c r="Q39" s="8"/>
      <c r="R39" s="37"/>
      <c r="S39" s="37"/>
    </row>
    <row r="40" spans="1:19" x14ac:dyDescent="0.15">
      <c r="A40" s="59"/>
      <c r="B40" t="s">
        <v>275</v>
      </c>
      <c r="C40" t="s">
        <v>282</v>
      </c>
      <c r="D40" t="s">
        <v>282</v>
      </c>
      <c r="E40" t="s">
        <v>114</v>
      </c>
      <c r="F40" t="s">
        <v>97</v>
      </c>
      <c r="G40" t="s">
        <v>168</v>
      </c>
      <c r="H40" s="1">
        <v>2E-3</v>
      </c>
      <c r="I40" s="8">
        <v>0.55000000000000004</v>
      </c>
      <c r="J40" s="13"/>
      <c r="K40" s="8"/>
      <c r="L40" s="8"/>
      <c r="M40" s="8"/>
      <c r="N40" s="8"/>
      <c r="O40" s="8"/>
      <c r="P40" s="8"/>
      <c r="Q40" s="8"/>
      <c r="R40" s="37"/>
      <c r="S40" s="37"/>
    </row>
    <row r="41" spans="1:19" x14ac:dyDescent="0.15">
      <c r="A41" s="59"/>
      <c r="B41" s="1" t="s">
        <v>309</v>
      </c>
      <c r="C41" s="1" t="s">
        <v>310</v>
      </c>
      <c r="D41" s="1" t="s">
        <v>310</v>
      </c>
      <c r="E41" t="s">
        <v>114</v>
      </c>
      <c r="F41" s="1" t="s">
        <v>97</v>
      </c>
      <c r="G41" s="1" t="s">
        <v>168</v>
      </c>
      <c r="H41" s="1">
        <v>2E-3</v>
      </c>
      <c r="I41" s="8">
        <v>0.55000000000000004</v>
      </c>
      <c r="J41" s="13"/>
      <c r="K41" s="8"/>
      <c r="L41" s="8"/>
      <c r="M41" s="8"/>
      <c r="N41" s="8"/>
      <c r="O41" s="8"/>
      <c r="P41" s="8"/>
      <c r="Q41" s="8"/>
      <c r="R41" s="37"/>
      <c r="S41" s="37"/>
    </row>
    <row r="42" spans="1:19" x14ac:dyDescent="0.15">
      <c r="A42" s="59"/>
      <c r="B42" s="1" t="s">
        <v>283</v>
      </c>
      <c r="C42" s="1" t="s">
        <v>70</v>
      </c>
      <c r="D42" s="1" t="s">
        <v>70</v>
      </c>
      <c r="E42" s="8" t="s">
        <v>112</v>
      </c>
      <c r="F42" s="1" t="s">
        <v>94</v>
      </c>
      <c r="G42" s="1" t="s">
        <v>177</v>
      </c>
      <c r="H42" s="1">
        <v>0</v>
      </c>
      <c r="I42" s="8">
        <v>0</v>
      </c>
      <c r="J42" s="13"/>
      <c r="K42" s="8"/>
      <c r="L42" s="126"/>
      <c r="M42" s="8"/>
      <c r="N42" s="126"/>
      <c r="O42" s="8"/>
      <c r="P42" s="126"/>
      <c r="Q42" s="8"/>
      <c r="R42" s="121"/>
    </row>
    <row r="43" spans="1:19" x14ac:dyDescent="0.15">
      <c r="A43" s="59"/>
      <c r="B43" s="1" t="s">
        <v>284</v>
      </c>
      <c r="C43" s="1" t="s">
        <v>71</v>
      </c>
      <c r="D43" s="1" t="s">
        <v>71</v>
      </c>
      <c r="E43" s="8" t="s">
        <v>112</v>
      </c>
      <c r="F43" s="1" t="s">
        <v>94</v>
      </c>
      <c r="G43" s="1" t="s">
        <v>177</v>
      </c>
      <c r="H43" s="1">
        <v>0</v>
      </c>
      <c r="I43" s="8">
        <v>0</v>
      </c>
      <c r="J43" s="13"/>
      <c r="K43" s="8"/>
      <c r="L43" s="32"/>
      <c r="M43" s="8"/>
      <c r="N43" s="8"/>
      <c r="O43" s="8"/>
      <c r="P43" s="8"/>
      <c r="Q43" s="8"/>
    </row>
    <row r="44" spans="1:19" x14ac:dyDescent="0.15">
      <c r="A44" s="59"/>
      <c r="B44" t="s">
        <v>285</v>
      </c>
      <c r="C44" t="s">
        <v>72</v>
      </c>
      <c r="D44" t="s">
        <v>72</v>
      </c>
      <c r="E44" t="s">
        <v>111</v>
      </c>
      <c r="F44" t="s">
        <v>95</v>
      </c>
      <c r="G44" t="s">
        <v>176</v>
      </c>
      <c r="H44" s="1">
        <v>0</v>
      </c>
      <c r="I44" s="8">
        <v>0</v>
      </c>
      <c r="J44" s="13"/>
      <c r="K44" s="8"/>
      <c r="L44" s="32"/>
      <c r="M44" s="8"/>
      <c r="N44" s="8"/>
      <c r="O44" s="8"/>
      <c r="P44" s="8"/>
      <c r="Q44" s="8"/>
    </row>
    <row r="45" spans="1:19" x14ac:dyDescent="0.15">
      <c r="A45" s="59"/>
      <c r="B45" t="s">
        <v>286</v>
      </c>
      <c r="C45" t="s">
        <v>72</v>
      </c>
      <c r="D45" t="s">
        <v>72</v>
      </c>
      <c r="E45" t="s">
        <v>113</v>
      </c>
      <c r="F45" t="s">
        <v>133</v>
      </c>
      <c r="G45" t="s">
        <v>172</v>
      </c>
      <c r="H45" s="1">
        <v>0</v>
      </c>
      <c r="I45" s="8">
        <v>0</v>
      </c>
      <c r="J45" s="13"/>
      <c r="K45" s="8"/>
      <c r="L45" s="32"/>
      <c r="M45" s="8"/>
      <c r="N45" s="8"/>
      <c r="O45" s="8"/>
      <c r="P45" s="8"/>
      <c r="Q45" s="8"/>
    </row>
    <row r="46" spans="1:19" x14ac:dyDescent="0.15">
      <c r="A46" s="59"/>
      <c r="B46" t="s">
        <v>287</v>
      </c>
      <c r="C46" t="s">
        <v>73</v>
      </c>
      <c r="D46" t="s">
        <v>73</v>
      </c>
      <c r="E46" t="s">
        <v>127</v>
      </c>
      <c r="F46" t="s">
        <v>96</v>
      </c>
      <c r="G46" t="s">
        <v>175</v>
      </c>
      <c r="H46" s="1">
        <v>0</v>
      </c>
      <c r="I46" s="8">
        <v>0</v>
      </c>
      <c r="J46" s="13"/>
      <c r="K46" s="8"/>
      <c r="L46" s="32"/>
      <c r="M46" s="8"/>
      <c r="N46" s="8"/>
      <c r="O46" s="8"/>
      <c r="P46" s="8"/>
      <c r="Q46" s="8"/>
    </row>
    <row r="47" spans="1:19" x14ac:dyDescent="0.15">
      <c r="A47" s="59"/>
      <c r="B47" t="s">
        <v>288</v>
      </c>
      <c r="C47" t="s">
        <v>74</v>
      </c>
      <c r="D47" t="s">
        <v>74</v>
      </c>
      <c r="E47" t="s">
        <v>127</v>
      </c>
      <c r="F47" t="s">
        <v>96</v>
      </c>
      <c r="G47" t="s">
        <v>175</v>
      </c>
      <c r="H47" s="1">
        <v>0</v>
      </c>
      <c r="I47" s="8">
        <v>0</v>
      </c>
      <c r="J47" s="13"/>
      <c r="K47" s="8"/>
      <c r="L47" s="32"/>
      <c r="M47" s="8"/>
      <c r="N47" s="8"/>
      <c r="O47" s="8"/>
      <c r="P47" s="8"/>
      <c r="Q47" s="8"/>
    </row>
    <row r="48" spans="1:19" x14ac:dyDescent="0.15">
      <c r="A48" s="59"/>
      <c r="B48" t="s">
        <v>289</v>
      </c>
      <c r="C48" t="s">
        <v>75</v>
      </c>
      <c r="D48" t="s">
        <v>75</v>
      </c>
      <c r="E48" t="s">
        <v>114</v>
      </c>
      <c r="F48" t="s">
        <v>97</v>
      </c>
      <c r="G48" t="s">
        <v>174</v>
      </c>
      <c r="H48" s="1">
        <v>0</v>
      </c>
      <c r="I48" s="8">
        <v>0</v>
      </c>
      <c r="J48" s="13"/>
      <c r="K48" s="8"/>
      <c r="L48" s="32"/>
      <c r="M48" s="8"/>
      <c r="N48" s="8"/>
      <c r="O48" s="8"/>
      <c r="P48" s="8"/>
      <c r="Q48" s="8"/>
      <c r="R48" s="37"/>
    </row>
    <row r="49" spans="1:18" x14ac:dyDescent="0.15">
      <c r="A49" s="59"/>
      <c r="B49" t="s">
        <v>306</v>
      </c>
      <c r="C49" t="s">
        <v>281</v>
      </c>
      <c r="D49" t="s">
        <v>281</v>
      </c>
      <c r="E49" t="s">
        <v>127</v>
      </c>
      <c r="F49" t="s">
        <v>96</v>
      </c>
      <c r="G49" t="s">
        <v>175</v>
      </c>
      <c r="H49" s="1">
        <v>0</v>
      </c>
      <c r="I49" s="8">
        <v>0</v>
      </c>
      <c r="J49" s="13"/>
      <c r="K49" s="8"/>
      <c r="L49" s="32"/>
      <c r="M49" s="8"/>
      <c r="N49" s="8"/>
      <c r="O49" s="8"/>
      <c r="P49" s="8"/>
      <c r="Q49" s="8"/>
      <c r="R49" s="37"/>
    </row>
    <row r="50" spans="1:18" x14ac:dyDescent="0.15">
      <c r="A50" s="59"/>
      <c r="B50" t="s">
        <v>290</v>
      </c>
      <c r="C50" t="s">
        <v>76</v>
      </c>
      <c r="D50" t="s">
        <v>76</v>
      </c>
      <c r="E50" s="1" t="s">
        <v>109</v>
      </c>
      <c r="F50" s="1" t="s">
        <v>98</v>
      </c>
      <c r="G50" s="1" t="s">
        <v>173</v>
      </c>
      <c r="H50" s="1">
        <v>0</v>
      </c>
      <c r="I50" s="8">
        <v>0</v>
      </c>
      <c r="J50" s="13"/>
      <c r="K50" s="8"/>
      <c r="L50" s="32"/>
      <c r="M50" s="8"/>
      <c r="N50" s="8"/>
      <c r="O50" s="8"/>
      <c r="P50" s="8"/>
      <c r="Q50" s="8"/>
      <c r="R50" s="37"/>
    </row>
    <row r="51" spans="1:18" x14ac:dyDescent="0.15">
      <c r="A51" s="59"/>
      <c r="B51" t="s">
        <v>291</v>
      </c>
      <c r="C51" t="s">
        <v>77</v>
      </c>
      <c r="D51" t="s">
        <v>77</v>
      </c>
      <c r="E51" t="s">
        <v>127</v>
      </c>
      <c r="F51" s="1" t="s">
        <v>96</v>
      </c>
      <c r="G51" s="1" t="s">
        <v>175</v>
      </c>
      <c r="H51" s="1">
        <v>0</v>
      </c>
      <c r="I51" s="8">
        <v>0</v>
      </c>
      <c r="J51" s="13"/>
      <c r="K51" s="8"/>
      <c r="L51" s="32"/>
      <c r="M51" s="8"/>
      <c r="N51" s="8"/>
      <c r="O51" s="8"/>
      <c r="P51" s="8"/>
      <c r="Q51" s="8"/>
      <c r="R51" s="37"/>
    </row>
    <row r="52" spans="1:18" x14ac:dyDescent="0.15">
      <c r="A52" s="59"/>
      <c r="B52" t="s">
        <v>293</v>
      </c>
      <c r="C52" t="s">
        <v>78</v>
      </c>
      <c r="D52" t="s">
        <v>78</v>
      </c>
      <c r="E52" s="1" t="s">
        <v>109</v>
      </c>
      <c r="F52" s="1" t="s">
        <v>98</v>
      </c>
      <c r="G52" s="1" t="s">
        <v>173</v>
      </c>
      <c r="H52" s="1">
        <v>0</v>
      </c>
      <c r="I52" s="8">
        <v>0</v>
      </c>
      <c r="J52" s="13"/>
      <c r="K52" s="8"/>
      <c r="L52" s="32"/>
      <c r="M52" s="8"/>
      <c r="N52" s="8"/>
      <c r="O52" s="8"/>
      <c r="P52" s="8"/>
      <c r="Q52" s="8"/>
      <c r="R52" s="37"/>
    </row>
    <row r="53" spans="1:18" x14ac:dyDescent="0.15">
      <c r="A53" s="59"/>
      <c r="B53" t="s">
        <v>292</v>
      </c>
      <c r="C53" t="s">
        <v>79</v>
      </c>
      <c r="D53" t="s">
        <v>79</v>
      </c>
      <c r="E53" s="1" t="s">
        <v>109</v>
      </c>
      <c r="F53" s="1" t="s">
        <v>98</v>
      </c>
      <c r="G53" s="1" t="s">
        <v>173</v>
      </c>
      <c r="H53" s="1">
        <v>0</v>
      </c>
      <c r="I53" s="8">
        <v>0</v>
      </c>
      <c r="J53" s="13"/>
      <c r="K53" s="8"/>
      <c r="L53" s="32"/>
      <c r="M53" s="8"/>
      <c r="N53" s="8"/>
      <c r="O53" s="8"/>
      <c r="P53" s="8"/>
      <c r="Q53" s="8"/>
      <c r="R53" s="37"/>
    </row>
    <row r="54" spans="1:18" x14ac:dyDescent="0.15">
      <c r="A54" s="59"/>
      <c r="B54" t="s">
        <v>294</v>
      </c>
      <c r="C54" t="s">
        <v>80</v>
      </c>
      <c r="D54" t="s">
        <v>80</v>
      </c>
      <c r="E54" s="1" t="s">
        <v>109</v>
      </c>
      <c r="F54" s="1" t="s">
        <v>98</v>
      </c>
      <c r="G54" s="1" t="s">
        <v>173</v>
      </c>
      <c r="H54" s="1">
        <v>0</v>
      </c>
      <c r="I54" s="8">
        <v>0</v>
      </c>
      <c r="J54" s="13"/>
      <c r="K54" s="8"/>
      <c r="L54" s="32"/>
      <c r="M54" s="8"/>
      <c r="N54" s="8"/>
      <c r="O54" s="8"/>
      <c r="P54" s="8"/>
      <c r="Q54" s="8"/>
      <c r="R54" s="37"/>
    </row>
    <row r="55" spans="1:18" x14ac:dyDescent="0.15">
      <c r="A55" s="59"/>
      <c r="B55" t="s">
        <v>295</v>
      </c>
      <c r="C55" t="s">
        <v>81</v>
      </c>
      <c r="D55" t="s">
        <v>81</v>
      </c>
      <c r="E55" t="s">
        <v>127</v>
      </c>
      <c r="F55" s="1" t="s">
        <v>96</v>
      </c>
      <c r="G55" s="1" t="s">
        <v>175</v>
      </c>
      <c r="H55" s="1">
        <v>0</v>
      </c>
      <c r="I55" s="8">
        <v>0</v>
      </c>
      <c r="J55" s="13"/>
      <c r="K55" s="8"/>
      <c r="L55" s="32"/>
      <c r="M55" s="8"/>
      <c r="N55" s="8"/>
      <c r="O55" s="8"/>
      <c r="P55" s="8"/>
      <c r="Q55" s="8"/>
      <c r="R55" s="37"/>
    </row>
    <row r="56" spans="1:18" x14ac:dyDescent="0.15">
      <c r="A56" s="59"/>
      <c r="B56" t="s">
        <v>296</v>
      </c>
      <c r="C56" t="s">
        <v>75</v>
      </c>
      <c r="D56" t="s">
        <v>75</v>
      </c>
      <c r="E56" s="1" t="s">
        <v>110</v>
      </c>
      <c r="F56" t="s">
        <v>189</v>
      </c>
      <c r="G56" t="s">
        <v>174</v>
      </c>
      <c r="H56" s="1">
        <v>0</v>
      </c>
      <c r="I56" s="8">
        <v>0</v>
      </c>
      <c r="J56" s="13"/>
      <c r="K56" s="8"/>
      <c r="L56" s="32"/>
      <c r="M56" s="8"/>
      <c r="N56" s="8"/>
      <c r="O56" s="8"/>
      <c r="P56" s="8"/>
      <c r="Q56" s="8"/>
      <c r="R56" s="37"/>
    </row>
    <row r="57" spans="1:18" x14ac:dyDescent="0.15">
      <c r="A57" s="59"/>
      <c r="B57" t="s">
        <v>297</v>
      </c>
      <c r="C57" t="s">
        <v>300</v>
      </c>
      <c r="D57" t="s">
        <v>300</v>
      </c>
      <c r="E57" t="s">
        <v>111</v>
      </c>
      <c r="F57" t="s">
        <v>95</v>
      </c>
      <c r="G57" t="s">
        <v>176</v>
      </c>
      <c r="H57" s="1">
        <v>0</v>
      </c>
      <c r="I57" s="8">
        <v>0</v>
      </c>
      <c r="J57" s="13"/>
      <c r="K57" s="8"/>
      <c r="L57" s="32"/>
      <c r="M57" s="8"/>
      <c r="N57" s="8"/>
      <c r="O57" s="8"/>
      <c r="P57" s="8"/>
      <c r="Q57" s="8"/>
      <c r="R57" s="37"/>
    </row>
    <row r="58" spans="1:18" x14ac:dyDescent="0.15">
      <c r="A58" s="59"/>
      <c r="B58" t="s">
        <v>298</v>
      </c>
      <c r="C58" t="s">
        <v>137</v>
      </c>
      <c r="D58" t="s">
        <v>137</v>
      </c>
      <c r="E58" t="s">
        <v>127</v>
      </c>
      <c r="F58" t="s">
        <v>96</v>
      </c>
      <c r="G58" t="s">
        <v>175</v>
      </c>
      <c r="H58" s="1">
        <v>0</v>
      </c>
      <c r="I58" s="8">
        <v>0</v>
      </c>
      <c r="J58" s="13"/>
      <c r="K58" s="8"/>
      <c r="L58" s="32"/>
      <c r="M58" s="8"/>
      <c r="N58" s="8"/>
      <c r="O58" s="8"/>
      <c r="P58" s="8"/>
      <c r="Q58" s="8"/>
      <c r="R58" s="37"/>
    </row>
    <row r="59" spans="1:18" x14ac:dyDescent="0.15">
      <c r="A59" s="59"/>
      <c r="B59" t="s">
        <v>299</v>
      </c>
      <c r="C59" t="s">
        <v>282</v>
      </c>
      <c r="D59" t="s">
        <v>282</v>
      </c>
      <c r="E59" t="s">
        <v>114</v>
      </c>
      <c r="F59" t="s">
        <v>97</v>
      </c>
      <c r="G59" t="s">
        <v>174</v>
      </c>
      <c r="H59" s="1">
        <v>0</v>
      </c>
      <c r="I59" s="8">
        <v>0</v>
      </c>
      <c r="J59" s="13"/>
      <c r="K59" s="8"/>
      <c r="L59" s="32"/>
      <c r="M59" s="8"/>
      <c r="N59" s="8"/>
      <c r="O59" s="8"/>
      <c r="P59" s="8"/>
      <c r="Q59" s="8"/>
      <c r="R59" s="37"/>
    </row>
    <row r="60" spans="1:18" ht="12" thickBot="1" x14ac:dyDescent="0.2">
      <c r="A60" s="63"/>
      <c r="B60" s="16" t="s">
        <v>311</v>
      </c>
      <c r="C60" s="16" t="s">
        <v>310</v>
      </c>
      <c r="D60" s="16" t="s">
        <v>310</v>
      </c>
      <c r="E60" s="16" t="s">
        <v>114</v>
      </c>
      <c r="F60" s="16" t="s">
        <v>97</v>
      </c>
      <c r="G60" s="16" t="s">
        <v>174</v>
      </c>
      <c r="H60" s="16">
        <v>0</v>
      </c>
      <c r="I60" s="76">
        <v>0</v>
      </c>
      <c r="J60" s="13"/>
      <c r="K60" s="8"/>
      <c r="L60" s="32"/>
      <c r="M60" s="8"/>
      <c r="N60" s="8"/>
      <c r="O60" s="8"/>
      <c r="P60" s="8"/>
      <c r="Q60" s="8"/>
      <c r="R60" s="37"/>
    </row>
    <row r="61" spans="1:18" x14ac:dyDescent="0.15">
      <c r="A61" s="210" t="s">
        <v>433</v>
      </c>
      <c r="B61" s="1" t="s">
        <v>82</v>
      </c>
      <c r="C61" s="1" t="s">
        <v>70</v>
      </c>
      <c r="D61" s="1" t="s">
        <v>70</v>
      </c>
      <c r="E61" s="8" t="s">
        <v>112</v>
      </c>
      <c r="F61" t="s">
        <v>94</v>
      </c>
      <c r="G61" t="s">
        <v>171</v>
      </c>
      <c r="H61" s="1">
        <v>2E-3</v>
      </c>
      <c r="I61" s="8">
        <v>0.55000000000000004</v>
      </c>
    </row>
    <row r="62" spans="1:18" x14ac:dyDescent="0.15">
      <c r="A62" s="210"/>
      <c r="B62" s="1" t="s">
        <v>83</v>
      </c>
      <c r="C62" s="1" t="s">
        <v>71</v>
      </c>
      <c r="D62" s="1" t="s">
        <v>71</v>
      </c>
      <c r="E62" s="8" t="s">
        <v>112</v>
      </c>
      <c r="F62" t="s">
        <v>94</v>
      </c>
      <c r="G62" t="s">
        <v>171</v>
      </c>
      <c r="H62" s="1">
        <v>2E-3</v>
      </c>
      <c r="I62" s="8">
        <v>0.55000000000000004</v>
      </c>
    </row>
    <row r="63" spans="1:18" x14ac:dyDescent="0.15">
      <c r="A63" s="210"/>
      <c r="B63" t="s">
        <v>132</v>
      </c>
      <c r="C63" t="s">
        <v>72</v>
      </c>
      <c r="D63" t="s">
        <v>72</v>
      </c>
      <c r="E63" t="s">
        <v>111</v>
      </c>
      <c r="F63" t="s">
        <v>95</v>
      </c>
      <c r="G63" t="s">
        <v>170</v>
      </c>
      <c r="H63" s="1">
        <v>2E-3</v>
      </c>
      <c r="I63" s="8">
        <v>0.55000000000000004</v>
      </c>
    </row>
    <row r="64" spans="1:18" x14ac:dyDescent="0.15">
      <c r="A64" s="210"/>
      <c r="B64" t="s">
        <v>131</v>
      </c>
      <c r="C64" t="s">
        <v>72</v>
      </c>
      <c r="D64" t="s">
        <v>72</v>
      </c>
      <c r="E64" t="s">
        <v>113</v>
      </c>
      <c r="F64" t="s">
        <v>133</v>
      </c>
      <c r="G64" t="s">
        <v>166</v>
      </c>
      <c r="H64" s="1">
        <v>2E-3</v>
      </c>
      <c r="I64" s="8">
        <v>0.55000000000000004</v>
      </c>
    </row>
    <row r="65" spans="1:9" x14ac:dyDescent="0.15">
      <c r="A65" s="210"/>
      <c r="B65" t="s">
        <v>84</v>
      </c>
      <c r="C65" t="s">
        <v>73</v>
      </c>
      <c r="D65" t="s">
        <v>73</v>
      </c>
      <c r="E65" t="s">
        <v>114</v>
      </c>
      <c r="F65" t="s">
        <v>97</v>
      </c>
      <c r="G65" t="s">
        <v>168</v>
      </c>
      <c r="H65" s="1">
        <v>2E-3</v>
      </c>
      <c r="I65" s="8">
        <v>0.55000000000000004</v>
      </c>
    </row>
    <row r="66" spans="1:9" x14ac:dyDescent="0.15">
      <c r="A66" s="210"/>
      <c r="B66" t="s">
        <v>85</v>
      </c>
      <c r="C66" t="s">
        <v>74</v>
      </c>
      <c r="D66" t="s">
        <v>74</v>
      </c>
      <c r="E66" t="s">
        <v>127</v>
      </c>
      <c r="F66" t="s">
        <v>96</v>
      </c>
      <c r="G66" t="s">
        <v>169</v>
      </c>
      <c r="H66" s="1">
        <v>2E-3</v>
      </c>
      <c r="I66" s="8">
        <v>0.55000000000000004</v>
      </c>
    </row>
    <row r="67" spans="1:9" x14ac:dyDescent="0.15">
      <c r="A67" s="210"/>
      <c r="B67" t="s">
        <v>86</v>
      </c>
      <c r="C67" t="s">
        <v>75</v>
      </c>
      <c r="D67" t="s">
        <v>75</v>
      </c>
      <c r="E67" t="s">
        <v>114</v>
      </c>
      <c r="F67" t="s">
        <v>97</v>
      </c>
      <c r="G67" t="s">
        <v>168</v>
      </c>
      <c r="H67" s="1">
        <v>2E-3</v>
      </c>
      <c r="I67" s="8">
        <v>0.55000000000000004</v>
      </c>
    </row>
    <row r="68" spans="1:9" x14ac:dyDescent="0.15">
      <c r="A68" s="210"/>
      <c r="B68" t="s">
        <v>303</v>
      </c>
      <c r="C68" t="s">
        <v>281</v>
      </c>
      <c r="D68" t="s">
        <v>281</v>
      </c>
      <c r="E68" t="s">
        <v>127</v>
      </c>
      <c r="F68" t="s">
        <v>96</v>
      </c>
      <c r="G68" t="s">
        <v>169</v>
      </c>
      <c r="H68" s="1">
        <v>2E-3</v>
      </c>
      <c r="I68" s="8">
        <v>0.55000000000000004</v>
      </c>
    </row>
    <row r="69" spans="1:9" x14ac:dyDescent="0.15">
      <c r="A69" s="210"/>
      <c r="B69" t="s">
        <v>88</v>
      </c>
      <c r="C69" t="s">
        <v>76</v>
      </c>
      <c r="D69" t="s">
        <v>76</v>
      </c>
      <c r="E69" s="1" t="s">
        <v>109</v>
      </c>
      <c r="F69" s="1" t="s">
        <v>98</v>
      </c>
      <c r="G69" s="1" t="s">
        <v>167</v>
      </c>
      <c r="H69" s="1">
        <v>2E-3</v>
      </c>
      <c r="I69" s="8">
        <v>0.55000000000000004</v>
      </c>
    </row>
    <row r="70" spans="1:9" x14ac:dyDescent="0.15">
      <c r="A70" s="210"/>
      <c r="B70" t="s">
        <v>89</v>
      </c>
      <c r="C70" t="s">
        <v>77</v>
      </c>
      <c r="D70" t="s">
        <v>77</v>
      </c>
      <c r="E70" t="s">
        <v>127</v>
      </c>
      <c r="F70" t="s">
        <v>96</v>
      </c>
      <c r="G70" t="s">
        <v>169</v>
      </c>
      <c r="H70" s="1">
        <v>2E-3</v>
      </c>
      <c r="I70" s="8">
        <v>0.55000000000000004</v>
      </c>
    </row>
    <row r="71" spans="1:9" x14ac:dyDescent="0.15">
      <c r="A71" s="210"/>
      <c r="B71" t="s">
        <v>90</v>
      </c>
      <c r="C71" t="s">
        <v>78</v>
      </c>
      <c r="D71" t="s">
        <v>78</v>
      </c>
      <c r="E71" s="1" t="s">
        <v>109</v>
      </c>
      <c r="F71" s="1" t="s">
        <v>98</v>
      </c>
      <c r="G71" s="1" t="s">
        <v>167</v>
      </c>
      <c r="H71" s="1">
        <v>2E-3</v>
      </c>
      <c r="I71" s="8">
        <v>0.55000000000000004</v>
      </c>
    </row>
    <row r="72" spans="1:9" x14ac:dyDescent="0.15">
      <c r="A72" s="210"/>
      <c r="B72" t="s">
        <v>91</v>
      </c>
      <c r="C72" t="s">
        <v>79</v>
      </c>
      <c r="D72" t="s">
        <v>79</v>
      </c>
      <c r="E72" s="1" t="s">
        <v>109</v>
      </c>
      <c r="F72" s="1" t="s">
        <v>98</v>
      </c>
      <c r="G72" s="1" t="s">
        <v>167</v>
      </c>
      <c r="H72" s="1">
        <v>2E-3</v>
      </c>
      <c r="I72" s="8">
        <v>0.55000000000000004</v>
      </c>
    </row>
    <row r="73" spans="1:9" x14ac:dyDescent="0.15">
      <c r="A73" s="210"/>
      <c r="B73" t="s">
        <v>92</v>
      </c>
      <c r="C73" t="s">
        <v>80</v>
      </c>
      <c r="D73" t="s">
        <v>80</v>
      </c>
      <c r="E73" s="1" t="s">
        <v>109</v>
      </c>
      <c r="F73" s="1" t="s">
        <v>98</v>
      </c>
      <c r="G73" s="1" t="s">
        <v>167</v>
      </c>
      <c r="H73" s="1">
        <v>2E-3</v>
      </c>
      <c r="I73" s="8">
        <v>0.55000000000000004</v>
      </c>
    </row>
    <row r="74" spans="1:9" x14ac:dyDescent="0.15">
      <c r="A74" s="210"/>
      <c r="B74" t="s">
        <v>93</v>
      </c>
      <c r="C74" t="s">
        <v>81</v>
      </c>
      <c r="D74" t="s">
        <v>81</v>
      </c>
      <c r="E74" t="s">
        <v>127</v>
      </c>
      <c r="F74" t="s">
        <v>96</v>
      </c>
      <c r="G74" t="s">
        <v>169</v>
      </c>
      <c r="H74" s="1">
        <v>2E-3</v>
      </c>
      <c r="I74" s="8">
        <v>0.55000000000000004</v>
      </c>
    </row>
    <row r="75" spans="1:9" x14ac:dyDescent="0.15">
      <c r="A75" s="210"/>
      <c r="B75" t="s">
        <v>272</v>
      </c>
      <c r="C75" t="s">
        <v>75</v>
      </c>
      <c r="D75" t="s">
        <v>75</v>
      </c>
      <c r="E75" s="1" t="s">
        <v>110</v>
      </c>
      <c r="F75" t="s">
        <v>189</v>
      </c>
      <c r="G75" s="58" t="s">
        <v>168</v>
      </c>
      <c r="H75" s="1">
        <v>2E-3</v>
      </c>
      <c r="I75" s="8">
        <v>0.55000000000000004</v>
      </c>
    </row>
    <row r="76" spans="1:9" x14ac:dyDescent="0.15">
      <c r="A76" s="210"/>
      <c r="B76" t="s">
        <v>273</v>
      </c>
      <c r="C76" t="s">
        <v>300</v>
      </c>
      <c r="D76" t="s">
        <v>300</v>
      </c>
      <c r="E76" t="s">
        <v>111</v>
      </c>
      <c r="F76" t="s">
        <v>95</v>
      </c>
      <c r="G76" t="s">
        <v>170</v>
      </c>
      <c r="H76" s="1">
        <v>2E-3</v>
      </c>
      <c r="I76" s="8">
        <v>0.55000000000000004</v>
      </c>
    </row>
    <row r="77" spans="1:9" x14ac:dyDescent="0.15">
      <c r="A77" s="210"/>
      <c r="B77" t="s">
        <v>274</v>
      </c>
      <c r="C77" t="s">
        <v>137</v>
      </c>
      <c r="D77" t="s">
        <v>137</v>
      </c>
      <c r="E77" t="s">
        <v>127</v>
      </c>
      <c r="F77" t="s">
        <v>96</v>
      </c>
      <c r="G77" t="s">
        <v>169</v>
      </c>
      <c r="H77" s="1">
        <v>2E-3</v>
      </c>
      <c r="I77" s="8">
        <v>0.55000000000000004</v>
      </c>
    </row>
    <row r="78" spans="1:9" x14ac:dyDescent="0.15">
      <c r="A78" s="210"/>
      <c r="B78" t="s">
        <v>275</v>
      </c>
      <c r="C78" t="s">
        <v>282</v>
      </c>
      <c r="D78" t="s">
        <v>282</v>
      </c>
      <c r="E78" t="s">
        <v>114</v>
      </c>
      <c r="F78" t="s">
        <v>97</v>
      </c>
      <c r="G78" t="s">
        <v>168</v>
      </c>
      <c r="H78" s="1">
        <v>2E-3</v>
      </c>
      <c r="I78" s="8">
        <v>0.55000000000000004</v>
      </c>
    </row>
    <row r="79" spans="1:9" x14ac:dyDescent="0.15">
      <c r="A79" s="210"/>
      <c r="B79" s="1" t="s">
        <v>309</v>
      </c>
      <c r="C79" s="1" t="s">
        <v>310</v>
      </c>
      <c r="D79" s="1" t="s">
        <v>310</v>
      </c>
      <c r="E79" t="s">
        <v>114</v>
      </c>
      <c r="F79" s="1" t="s">
        <v>97</v>
      </c>
      <c r="G79" s="1" t="s">
        <v>168</v>
      </c>
      <c r="H79" s="1">
        <v>2E-3</v>
      </c>
      <c r="I79" s="8">
        <v>0.55000000000000004</v>
      </c>
    </row>
    <row r="80" spans="1:9" x14ac:dyDescent="0.15">
      <c r="A80" s="210"/>
      <c r="B80" s="1" t="s">
        <v>283</v>
      </c>
      <c r="C80" s="1" t="s">
        <v>70</v>
      </c>
      <c r="D80" s="1" t="s">
        <v>70</v>
      </c>
      <c r="E80" s="8" t="s">
        <v>112</v>
      </c>
      <c r="F80" s="1" t="s">
        <v>94</v>
      </c>
      <c r="G80" s="1" t="s">
        <v>177</v>
      </c>
      <c r="H80" s="1">
        <v>0</v>
      </c>
      <c r="I80" s="8">
        <v>0</v>
      </c>
    </row>
    <row r="81" spans="1:9" x14ac:dyDescent="0.15">
      <c r="A81" s="210"/>
      <c r="B81" s="1" t="s">
        <v>284</v>
      </c>
      <c r="C81" s="1" t="s">
        <v>71</v>
      </c>
      <c r="D81" s="1" t="s">
        <v>71</v>
      </c>
      <c r="E81" s="8" t="s">
        <v>112</v>
      </c>
      <c r="F81" s="1" t="s">
        <v>94</v>
      </c>
      <c r="G81" s="1" t="s">
        <v>177</v>
      </c>
      <c r="H81" s="1">
        <v>0</v>
      </c>
      <c r="I81" s="8">
        <v>0</v>
      </c>
    </row>
    <row r="82" spans="1:9" x14ac:dyDescent="0.15">
      <c r="A82" s="210"/>
      <c r="B82" t="s">
        <v>285</v>
      </c>
      <c r="C82" t="s">
        <v>72</v>
      </c>
      <c r="D82" t="s">
        <v>72</v>
      </c>
      <c r="E82" t="s">
        <v>111</v>
      </c>
      <c r="F82" t="s">
        <v>95</v>
      </c>
      <c r="G82" t="s">
        <v>176</v>
      </c>
      <c r="H82" s="1">
        <v>0</v>
      </c>
      <c r="I82" s="8">
        <v>0</v>
      </c>
    </row>
    <row r="83" spans="1:9" x14ac:dyDescent="0.15">
      <c r="A83" s="210"/>
      <c r="B83" t="s">
        <v>286</v>
      </c>
      <c r="C83" t="s">
        <v>72</v>
      </c>
      <c r="D83" t="s">
        <v>72</v>
      </c>
      <c r="E83" t="s">
        <v>113</v>
      </c>
      <c r="F83" t="s">
        <v>133</v>
      </c>
      <c r="G83" t="s">
        <v>172</v>
      </c>
      <c r="H83" s="1">
        <v>0</v>
      </c>
      <c r="I83" s="8">
        <v>0</v>
      </c>
    </row>
    <row r="84" spans="1:9" x14ac:dyDescent="0.15">
      <c r="A84" s="210"/>
      <c r="B84" t="s">
        <v>287</v>
      </c>
      <c r="C84" t="s">
        <v>73</v>
      </c>
      <c r="D84" t="s">
        <v>73</v>
      </c>
      <c r="E84" t="s">
        <v>127</v>
      </c>
      <c r="F84" t="s">
        <v>96</v>
      </c>
      <c r="G84" t="s">
        <v>175</v>
      </c>
      <c r="H84" s="1">
        <v>0</v>
      </c>
      <c r="I84" s="8">
        <v>0</v>
      </c>
    </row>
    <row r="85" spans="1:9" x14ac:dyDescent="0.15">
      <c r="A85" s="210"/>
      <c r="B85" t="s">
        <v>288</v>
      </c>
      <c r="C85" t="s">
        <v>74</v>
      </c>
      <c r="D85" t="s">
        <v>74</v>
      </c>
      <c r="E85" t="s">
        <v>127</v>
      </c>
      <c r="F85" t="s">
        <v>96</v>
      </c>
      <c r="G85" t="s">
        <v>175</v>
      </c>
      <c r="H85" s="1">
        <v>0</v>
      </c>
      <c r="I85" s="8">
        <v>0</v>
      </c>
    </row>
    <row r="86" spans="1:9" x14ac:dyDescent="0.15">
      <c r="A86" s="210"/>
      <c r="B86" t="s">
        <v>289</v>
      </c>
      <c r="C86" t="s">
        <v>75</v>
      </c>
      <c r="D86" t="s">
        <v>75</v>
      </c>
      <c r="E86" t="s">
        <v>114</v>
      </c>
      <c r="F86" t="s">
        <v>97</v>
      </c>
      <c r="G86" t="s">
        <v>174</v>
      </c>
      <c r="H86" s="1">
        <v>0</v>
      </c>
      <c r="I86" s="8">
        <v>0</v>
      </c>
    </row>
    <row r="87" spans="1:9" x14ac:dyDescent="0.15">
      <c r="A87" s="210"/>
      <c r="B87" t="s">
        <v>306</v>
      </c>
      <c r="C87" t="s">
        <v>281</v>
      </c>
      <c r="D87" t="s">
        <v>281</v>
      </c>
      <c r="E87" t="s">
        <v>127</v>
      </c>
      <c r="F87" t="s">
        <v>96</v>
      </c>
      <c r="G87" t="s">
        <v>175</v>
      </c>
      <c r="H87" s="1">
        <v>0</v>
      </c>
      <c r="I87" s="8">
        <v>0</v>
      </c>
    </row>
    <row r="88" spans="1:9" x14ac:dyDescent="0.15">
      <c r="A88" s="210"/>
      <c r="B88" t="s">
        <v>290</v>
      </c>
      <c r="C88" t="s">
        <v>76</v>
      </c>
      <c r="D88" t="s">
        <v>76</v>
      </c>
      <c r="E88" s="1" t="s">
        <v>109</v>
      </c>
      <c r="F88" s="1" t="s">
        <v>98</v>
      </c>
      <c r="G88" s="1" t="s">
        <v>173</v>
      </c>
      <c r="H88" s="1">
        <v>0</v>
      </c>
      <c r="I88" s="8">
        <v>0</v>
      </c>
    </row>
    <row r="89" spans="1:9" x14ac:dyDescent="0.15">
      <c r="A89" s="210"/>
      <c r="B89" t="s">
        <v>291</v>
      </c>
      <c r="C89" t="s">
        <v>77</v>
      </c>
      <c r="D89" t="s">
        <v>77</v>
      </c>
      <c r="E89" t="s">
        <v>127</v>
      </c>
      <c r="F89" s="1" t="s">
        <v>96</v>
      </c>
      <c r="G89" s="1" t="s">
        <v>175</v>
      </c>
      <c r="H89" s="1">
        <v>0</v>
      </c>
      <c r="I89" s="8">
        <v>0</v>
      </c>
    </row>
    <row r="90" spans="1:9" x14ac:dyDescent="0.15">
      <c r="A90" s="210"/>
      <c r="B90" t="s">
        <v>293</v>
      </c>
      <c r="C90" t="s">
        <v>78</v>
      </c>
      <c r="D90" t="s">
        <v>78</v>
      </c>
      <c r="E90" s="1" t="s">
        <v>109</v>
      </c>
      <c r="F90" s="1" t="s">
        <v>98</v>
      </c>
      <c r="G90" s="1" t="s">
        <v>173</v>
      </c>
      <c r="H90" s="1">
        <v>0</v>
      </c>
      <c r="I90" s="8">
        <v>0</v>
      </c>
    </row>
    <row r="91" spans="1:9" x14ac:dyDescent="0.15">
      <c r="A91" s="210"/>
      <c r="B91" t="s">
        <v>292</v>
      </c>
      <c r="C91" t="s">
        <v>79</v>
      </c>
      <c r="D91" t="s">
        <v>79</v>
      </c>
      <c r="E91" s="1" t="s">
        <v>109</v>
      </c>
      <c r="F91" s="1" t="s">
        <v>98</v>
      </c>
      <c r="G91" s="1" t="s">
        <v>173</v>
      </c>
      <c r="H91" s="1">
        <v>0</v>
      </c>
      <c r="I91" s="8">
        <v>0</v>
      </c>
    </row>
    <row r="92" spans="1:9" x14ac:dyDescent="0.15">
      <c r="A92" s="210"/>
      <c r="B92" t="s">
        <v>294</v>
      </c>
      <c r="C92" t="s">
        <v>80</v>
      </c>
      <c r="D92" t="s">
        <v>80</v>
      </c>
      <c r="E92" s="1" t="s">
        <v>109</v>
      </c>
      <c r="F92" s="1" t="s">
        <v>98</v>
      </c>
      <c r="G92" s="1" t="s">
        <v>173</v>
      </c>
      <c r="H92" s="1">
        <v>0</v>
      </c>
      <c r="I92" s="8">
        <v>0</v>
      </c>
    </row>
    <row r="93" spans="1:9" x14ac:dyDescent="0.15">
      <c r="A93" s="210"/>
      <c r="B93" t="s">
        <v>295</v>
      </c>
      <c r="C93" t="s">
        <v>81</v>
      </c>
      <c r="D93" t="s">
        <v>81</v>
      </c>
      <c r="E93" t="s">
        <v>127</v>
      </c>
      <c r="F93" s="1" t="s">
        <v>96</v>
      </c>
      <c r="G93" s="1" t="s">
        <v>175</v>
      </c>
      <c r="H93" s="1">
        <v>0</v>
      </c>
      <c r="I93" s="8">
        <v>0</v>
      </c>
    </row>
    <row r="94" spans="1:9" x14ac:dyDescent="0.15">
      <c r="A94" s="210"/>
      <c r="B94" t="s">
        <v>296</v>
      </c>
      <c r="C94" t="s">
        <v>75</v>
      </c>
      <c r="D94" t="s">
        <v>75</v>
      </c>
      <c r="E94" s="1" t="s">
        <v>110</v>
      </c>
      <c r="F94" t="s">
        <v>189</v>
      </c>
      <c r="G94" t="s">
        <v>174</v>
      </c>
      <c r="H94" s="1">
        <v>0</v>
      </c>
      <c r="I94" s="8">
        <v>0</v>
      </c>
    </row>
    <row r="95" spans="1:9" x14ac:dyDescent="0.15">
      <c r="A95" s="210"/>
      <c r="B95" t="s">
        <v>297</v>
      </c>
      <c r="C95" t="s">
        <v>300</v>
      </c>
      <c r="D95" t="s">
        <v>300</v>
      </c>
      <c r="E95" t="s">
        <v>111</v>
      </c>
      <c r="F95" t="s">
        <v>95</v>
      </c>
      <c r="G95" t="s">
        <v>176</v>
      </c>
      <c r="H95" s="1">
        <v>0</v>
      </c>
      <c r="I95" s="8">
        <v>0</v>
      </c>
    </row>
    <row r="96" spans="1:9" x14ac:dyDescent="0.15">
      <c r="A96" s="210"/>
      <c r="B96" t="s">
        <v>298</v>
      </c>
      <c r="C96" t="s">
        <v>137</v>
      </c>
      <c r="D96" t="s">
        <v>137</v>
      </c>
      <c r="E96" t="s">
        <v>127</v>
      </c>
      <c r="F96" t="s">
        <v>96</v>
      </c>
      <c r="G96" t="s">
        <v>175</v>
      </c>
      <c r="H96" s="1">
        <v>0</v>
      </c>
      <c r="I96" s="8">
        <v>0</v>
      </c>
    </row>
    <row r="97" spans="1:9" x14ac:dyDescent="0.15">
      <c r="A97" s="210"/>
      <c r="B97" t="s">
        <v>299</v>
      </c>
      <c r="C97" t="s">
        <v>282</v>
      </c>
      <c r="D97" t="s">
        <v>282</v>
      </c>
      <c r="E97" t="s">
        <v>114</v>
      </c>
      <c r="F97" t="s">
        <v>97</v>
      </c>
      <c r="G97" t="s">
        <v>174</v>
      </c>
      <c r="H97" s="1">
        <v>0</v>
      </c>
      <c r="I97" s="8">
        <v>0</v>
      </c>
    </row>
    <row r="98" spans="1:9" x14ac:dyDescent="0.15">
      <c r="A98" s="210"/>
      <c r="B98" s="1" t="s">
        <v>311</v>
      </c>
      <c r="C98" s="1" t="s">
        <v>310</v>
      </c>
      <c r="D98" s="1" t="s">
        <v>310</v>
      </c>
      <c r="E98" s="1" t="s">
        <v>114</v>
      </c>
      <c r="F98" s="1" t="s">
        <v>97</v>
      </c>
      <c r="G98" s="1" t="s">
        <v>174</v>
      </c>
      <c r="H98" s="1">
        <v>0</v>
      </c>
      <c r="I98" s="8">
        <v>0</v>
      </c>
    </row>
    <row r="99" spans="1:9" x14ac:dyDescent="0.15">
      <c r="A99" s="210"/>
      <c r="B99" s="211" t="s">
        <v>434</v>
      </c>
      <c r="C99" s="1" t="s">
        <v>70</v>
      </c>
      <c r="D99" s="1" t="s">
        <v>70</v>
      </c>
      <c r="E99" s="8" t="s">
        <v>112</v>
      </c>
      <c r="F99" t="s">
        <v>94</v>
      </c>
      <c r="G99" t="s">
        <v>171</v>
      </c>
      <c r="H99" s="1">
        <v>2E-3</v>
      </c>
      <c r="I99" s="8">
        <v>0.55000000000000004</v>
      </c>
    </row>
    <row r="100" spans="1:9" x14ac:dyDescent="0.15">
      <c r="A100" s="210"/>
      <c r="B100" s="211" t="s">
        <v>435</v>
      </c>
      <c r="C100" s="1" t="s">
        <v>71</v>
      </c>
      <c r="D100" s="1" t="s">
        <v>71</v>
      </c>
      <c r="E100" s="8" t="s">
        <v>112</v>
      </c>
      <c r="F100" t="s">
        <v>94</v>
      </c>
      <c r="G100" t="s">
        <v>171</v>
      </c>
      <c r="H100" s="1">
        <v>2E-3</v>
      </c>
      <c r="I100" s="8">
        <v>0.55000000000000004</v>
      </c>
    </row>
    <row r="101" spans="1:9" x14ac:dyDescent="0.15">
      <c r="A101" s="210"/>
      <c r="B101" s="210" t="s">
        <v>436</v>
      </c>
      <c r="C101" t="s">
        <v>72</v>
      </c>
      <c r="D101" t="s">
        <v>72</v>
      </c>
      <c r="E101" t="s">
        <v>111</v>
      </c>
      <c r="F101" t="s">
        <v>95</v>
      </c>
      <c r="G101" t="s">
        <v>170</v>
      </c>
      <c r="H101" s="1">
        <v>2E-3</v>
      </c>
      <c r="I101" s="8">
        <v>0.55000000000000004</v>
      </c>
    </row>
    <row r="102" spans="1:9" x14ac:dyDescent="0.15">
      <c r="A102" s="210"/>
      <c r="B102" s="210" t="s">
        <v>437</v>
      </c>
      <c r="C102" t="s">
        <v>72</v>
      </c>
      <c r="D102" t="s">
        <v>72</v>
      </c>
      <c r="E102" t="s">
        <v>113</v>
      </c>
      <c r="F102" t="s">
        <v>133</v>
      </c>
      <c r="G102" t="s">
        <v>166</v>
      </c>
      <c r="H102" s="1">
        <v>2E-3</v>
      </c>
      <c r="I102" s="8">
        <v>0.55000000000000004</v>
      </c>
    </row>
    <row r="103" spans="1:9" x14ac:dyDescent="0.15">
      <c r="A103" s="210"/>
      <c r="B103" s="210" t="s">
        <v>438</v>
      </c>
      <c r="C103" t="s">
        <v>73</v>
      </c>
      <c r="D103" t="s">
        <v>73</v>
      </c>
      <c r="E103" t="s">
        <v>114</v>
      </c>
      <c r="F103" t="s">
        <v>97</v>
      </c>
      <c r="G103" t="s">
        <v>168</v>
      </c>
      <c r="H103" s="1">
        <v>2E-3</v>
      </c>
      <c r="I103" s="8">
        <v>0.55000000000000004</v>
      </c>
    </row>
    <row r="104" spans="1:9" x14ac:dyDescent="0.15">
      <c r="A104" s="210"/>
      <c r="B104" s="210" t="s">
        <v>439</v>
      </c>
      <c r="C104" t="s">
        <v>74</v>
      </c>
      <c r="D104" t="s">
        <v>74</v>
      </c>
      <c r="E104" t="s">
        <v>127</v>
      </c>
      <c r="F104" t="s">
        <v>96</v>
      </c>
      <c r="G104" t="s">
        <v>169</v>
      </c>
      <c r="H104" s="1">
        <v>2E-3</v>
      </c>
      <c r="I104" s="8">
        <v>0.55000000000000004</v>
      </c>
    </row>
    <row r="105" spans="1:9" x14ac:dyDescent="0.15">
      <c r="A105" s="210"/>
      <c r="B105" s="210" t="s">
        <v>440</v>
      </c>
      <c r="C105" t="s">
        <v>75</v>
      </c>
      <c r="D105" t="s">
        <v>75</v>
      </c>
      <c r="E105" t="s">
        <v>114</v>
      </c>
      <c r="F105" t="s">
        <v>97</v>
      </c>
      <c r="G105" t="s">
        <v>168</v>
      </c>
      <c r="H105" s="1">
        <v>2E-3</v>
      </c>
      <c r="I105" s="8">
        <v>0.55000000000000004</v>
      </c>
    </row>
    <row r="106" spans="1:9" x14ac:dyDescent="0.15">
      <c r="A106" s="210"/>
      <c r="B106" s="210" t="s">
        <v>441</v>
      </c>
      <c r="C106" t="s">
        <v>281</v>
      </c>
      <c r="D106" t="s">
        <v>281</v>
      </c>
      <c r="E106" t="s">
        <v>127</v>
      </c>
      <c r="F106" t="s">
        <v>96</v>
      </c>
      <c r="G106" t="s">
        <v>169</v>
      </c>
      <c r="H106" s="1">
        <v>2E-3</v>
      </c>
      <c r="I106" s="8">
        <v>0.55000000000000004</v>
      </c>
    </row>
    <row r="107" spans="1:9" x14ac:dyDescent="0.15">
      <c r="A107" s="210"/>
      <c r="B107" s="210" t="s">
        <v>442</v>
      </c>
      <c r="C107" t="s">
        <v>76</v>
      </c>
      <c r="D107" t="s">
        <v>76</v>
      </c>
      <c r="E107" s="1" t="s">
        <v>109</v>
      </c>
      <c r="F107" s="1" t="s">
        <v>98</v>
      </c>
      <c r="G107" s="1" t="s">
        <v>167</v>
      </c>
      <c r="H107" s="1">
        <v>2E-3</v>
      </c>
      <c r="I107" s="8">
        <v>0.55000000000000004</v>
      </c>
    </row>
    <row r="108" spans="1:9" x14ac:dyDescent="0.15">
      <c r="A108" s="210"/>
      <c r="B108" s="210" t="s">
        <v>443</v>
      </c>
      <c r="C108" t="s">
        <v>77</v>
      </c>
      <c r="D108" t="s">
        <v>77</v>
      </c>
      <c r="E108" t="s">
        <v>127</v>
      </c>
      <c r="F108" t="s">
        <v>96</v>
      </c>
      <c r="G108" t="s">
        <v>169</v>
      </c>
      <c r="H108" s="1">
        <v>2E-3</v>
      </c>
      <c r="I108" s="8">
        <v>0.55000000000000004</v>
      </c>
    </row>
    <row r="109" spans="1:9" x14ac:dyDescent="0.15">
      <c r="A109" s="210"/>
      <c r="B109" s="210" t="s">
        <v>444</v>
      </c>
      <c r="C109" t="s">
        <v>78</v>
      </c>
      <c r="D109" t="s">
        <v>78</v>
      </c>
      <c r="E109" s="1" t="s">
        <v>109</v>
      </c>
      <c r="F109" s="1" t="s">
        <v>98</v>
      </c>
      <c r="G109" s="1" t="s">
        <v>167</v>
      </c>
      <c r="H109" s="1">
        <v>2E-3</v>
      </c>
      <c r="I109" s="8">
        <v>0.55000000000000004</v>
      </c>
    </row>
    <row r="110" spans="1:9" x14ac:dyDescent="0.15">
      <c r="A110" s="210"/>
      <c r="B110" s="210" t="s">
        <v>445</v>
      </c>
      <c r="C110" t="s">
        <v>79</v>
      </c>
      <c r="D110" t="s">
        <v>79</v>
      </c>
      <c r="E110" s="1" t="s">
        <v>109</v>
      </c>
      <c r="F110" s="1" t="s">
        <v>98</v>
      </c>
      <c r="G110" s="1" t="s">
        <v>167</v>
      </c>
      <c r="H110" s="1">
        <v>2E-3</v>
      </c>
      <c r="I110" s="8">
        <v>0.55000000000000004</v>
      </c>
    </row>
    <row r="111" spans="1:9" x14ac:dyDescent="0.15">
      <c r="A111" s="210"/>
      <c r="B111" s="210" t="s">
        <v>446</v>
      </c>
      <c r="C111" t="s">
        <v>80</v>
      </c>
      <c r="D111" t="s">
        <v>80</v>
      </c>
      <c r="E111" s="1" t="s">
        <v>109</v>
      </c>
      <c r="F111" s="1" t="s">
        <v>98</v>
      </c>
      <c r="G111" s="1" t="s">
        <v>167</v>
      </c>
      <c r="H111" s="1">
        <v>2E-3</v>
      </c>
      <c r="I111" s="8">
        <v>0.55000000000000004</v>
      </c>
    </row>
    <row r="112" spans="1:9" x14ac:dyDescent="0.15">
      <c r="A112" s="210"/>
      <c r="B112" s="210" t="s">
        <v>447</v>
      </c>
      <c r="C112" t="s">
        <v>81</v>
      </c>
      <c r="D112" t="s">
        <v>81</v>
      </c>
      <c r="E112" t="s">
        <v>127</v>
      </c>
      <c r="F112" t="s">
        <v>96</v>
      </c>
      <c r="G112" t="s">
        <v>169</v>
      </c>
      <c r="H112" s="1">
        <v>2E-3</v>
      </c>
      <c r="I112" s="8">
        <v>0.55000000000000004</v>
      </c>
    </row>
    <row r="113" spans="1:9" x14ac:dyDescent="0.15">
      <c r="A113" s="210"/>
      <c r="B113" s="210" t="s">
        <v>448</v>
      </c>
      <c r="C113" t="s">
        <v>75</v>
      </c>
      <c r="D113" t="s">
        <v>75</v>
      </c>
      <c r="E113" s="1" t="s">
        <v>110</v>
      </c>
      <c r="F113" t="s">
        <v>189</v>
      </c>
      <c r="G113" s="58" t="s">
        <v>168</v>
      </c>
      <c r="H113" s="1">
        <v>2E-3</v>
      </c>
      <c r="I113" s="8">
        <v>0.55000000000000004</v>
      </c>
    </row>
    <row r="114" spans="1:9" x14ac:dyDescent="0.15">
      <c r="A114" s="210"/>
      <c r="B114" s="210" t="s">
        <v>449</v>
      </c>
      <c r="C114" t="s">
        <v>300</v>
      </c>
      <c r="D114" t="s">
        <v>300</v>
      </c>
      <c r="E114" t="s">
        <v>111</v>
      </c>
      <c r="F114" t="s">
        <v>95</v>
      </c>
      <c r="G114" t="s">
        <v>170</v>
      </c>
      <c r="H114" s="1">
        <v>2E-3</v>
      </c>
      <c r="I114" s="8">
        <v>0.55000000000000004</v>
      </c>
    </row>
    <row r="115" spans="1:9" x14ac:dyDescent="0.15">
      <c r="A115" s="210"/>
      <c r="B115" s="210" t="s">
        <v>450</v>
      </c>
      <c r="C115" t="s">
        <v>137</v>
      </c>
      <c r="D115" t="s">
        <v>137</v>
      </c>
      <c r="E115" t="s">
        <v>127</v>
      </c>
      <c r="F115" t="s">
        <v>96</v>
      </c>
      <c r="G115" t="s">
        <v>169</v>
      </c>
      <c r="H115" s="1">
        <v>2E-3</v>
      </c>
      <c r="I115" s="8">
        <v>0.55000000000000004</v>
      </c>
    </row>
    <row r="116" spans="1:9" x14ac:dyDescent="0.15">
      <c r="A116" s="211"/>
      <c r="B116" s="211" t="s">
        <v>451</v>
      </c>
      <c r="C116" s="1" t="s">
        <v>282</v>
      </c>
      <c r="D116" s="1" t="s">
        <v>282</v>
      </c>
      <c r="E116" s="1" t="s">
        <v>114</v>
      </c>
      <c r="F116" s="1" t="s">
        <v>97</v>
      </c>
      <c r="G116" s="1" t="s">
        <v>168</v>
      </c>
      <c r="H116" s="1">
        <v>2E-3</v>
      </c>
      <c r="I116" s="8">
        <v>0.55000000000000004</v>
      </c>
    </row>
    <row r="117" spans="1:9" x14ac:dyDescent="0.15">
      <c r="A117" s="212"/>
      <c r="B117" s="212" t="s">
        <v>452</v>
      </c>
      <c r="C117" s="16" t="s">
        <v>310</v>
      </c>
      <c r="D117" s="16" t="s">
        <v>310</v>
      </c>
      <c r="E117" s="16" t="s">
        <v>114</v>
      </c>
      <c r="F117" s="16" t="s">
        <v>97</v>
      </c>
      <c r="G117" s="16" t="s">
        <v>168</v>
      </c>
      <c r="H117" s="16">
        <v>2E-3</v>
      </c>
      <c r="I117" s="30">
        <v>0.55000000000000004</v>
      </c>
    </row>
  </sheetData>
  <autoFilter ref="A22:I6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8"/>
  <sheetViews>
    <sheetView showGridLines="0" topLeftCell="A13" workbookViewId="0">
      <selection activeCell="E27" sqref="E27"/>
    </sheetView>
  </sheetViews>
  <sheetFormatPr defaultRowHeight="11.25" x14ac:dyDescent="0.15"/>
  <cols>
    <col min="1" max="1" width="12" customWidth="1"/>
    <col min="2" max="2" width="14.625" customWidth="1"/>
    <col min="3" max="5" width="15" customWidth="1"/>
    <col min="6" max="6" width="18" customWidth="1"/>
    <col min="7" max="7" width="14.5" customWidth="1"/>
    <col min="8" max="8" width="13.25" customWidth="1"/>
    <col min="9" max="9" width="11.375" customWidth="1"/>
    <col min="11" max="11" width="16.625" customWidth="1"/>
    <col min="12" max="12" width="14" customWidth="1"/>
    <col min="16" max="16" width="11.875" customWidth="1"/>
  </cols>
  <sheetData>
    <row r="1" spans="1:14" ht="19.5" x14ac:dyDescent="0.25">
      <c r="A1" s="6" t="s">
        <v>458</v>
      </c>
    </row>
    <row r="2" spans="1:14" x14ac:dyDescent="0.15">
      <c r="A2" s="5" t="s">
        <v>406</v>
      </c>
    </row>
    <row r="3" spans="1:14" x14ac:dyDescent="0.15">
      <c r="B3" s="5"/>
    </row>
    <row r="4" spans="1:14" x14ac:dyDescent="0.15">
      <c r="A4" s="45" t="s">
        <v>139</v>
      </c>
      <c r="B4" s="43"/>
      <c r="C4" s="43"/>
      <c r="D4" s="43"/>
      <c r="E4" s="44"/>
      <c r="F4" s="42" t="s">
        <v>140</v>
      </c>
      <c r="G4" s="43"/>
      <c r="H4" s="43"/>
      <c r="I4" s="158" t="s">
        <v>247</v>
      </c>
      <c r="J4" s="159" t="s">
        <v>210</v>
      </c>
      <c r="K4" s="158" t="s">
        <v>248</v>
      </c>
      <c r="L4" s="159" t="s">
        <v>210</v>
      </c>
      <c r="M4" s="158" t="s">
        <v>249</v>
      </c>
      <c r="N4" s="159" t="s">
        <v>210</v>
      </c>
    </row>
    <row r="5" spans="1:14" x14ac:dyDescent="0.15">
      <c r="A5" s="48"/>
      <c r="B5" s="49"/>
      <c r="C5" s="46"/>
      <c r="D5" s="46"/>
      <c r="E5" s="47"/>
      <c r="F5" s="209" t="s">
        <v>432</v>
      </c>
      <c r="G5" s="123"/>
      <c r="H5" s="46"/>
      <c r="I5" s="156" t="s">
        <v>82</v>
      </c>
      <c r="J5" s="156">
        <f>H36</f>
        <v>6.9979999999999999E-3</v>
      </c>
      <c r="K5" s="156" t="s">
        <v>82</v>
      </c>
      <c r="L5" s="156">
        <f>J36</f>
        <v>8.4053000000000003E-2</v>
      </c>
      <c r="M5" s="156" t="s">
        <v>82</v>
      </c>
      <c r="N5" s="156">
        <f>L36</f>
        <v>0.18405299999999999</v>
      </c>
    </row>
    <row r="6" spans="1:14" x14ac:dyDescent="0.15">
      <c r="A6" s="46" t="s">
        <v>378</v>
      </c>
      <c r="B6" s="51"/>
      <c r="C6" s="46"/>
      <c r="D6" s="46"/>
      <c r="E6" s="47"/>
      <c r="F6" s="208" t="s">
        <v>429</v>
      </c>
      <c r="G6" s="46"/>
      <c r="H6" s="128"/>
      <c r="I6" s="156" t="s">
        <v>83</v>
      </c>
      <c r="J6" s="156">
        <f>H35</f>
        <v>4.1399999999999998E-4</v>
      </c>
      <c r="K6" s="156" t="s">
        <v>83</v>
      </c>
      <c r="L6" s="156">
        <f>J35</f>
        <v>1.9564000000000002E-2</v>
      </c>
      <c r="M6" s="156" t="s">
        <v>83</v>
      </c>
      <c r="N6" s="156">
        <f>L35</f>
        <v>0.21956400000000001</v>
      </c>
    </row>
    <row r="7" spans="1:14" x14ac:dyDescent="0.15">
      <c r="A7" s="48" t="s">
        <v>430</v>
      </c>
      <c r="B7" s="52"/>
      <c r="C7" s="46"/>
      <c r="D7" s="46"/>
      <c r="E7" s="47"/>
      <c r="F7" s="13" t="s">
        <v>94</v>
      </c>
      <c r="G7" s="128">
        <v>1.0200761645709615</v>
      </c>
      <c r="H7" s="128"/>
      <c r="I7" s="156" t="s">
        <v>132</v>
      </c>
      <c r="J7" s="156">
        <f>H34</f>
        <v>1.3816E-2</v>
      </c>
      <c r="K7" s="156" t="s">
        <v>132</v>
      </c>
      <c r="L7" s="156">
        <f>J34</f>
        <v>2.4101999999999998E-2</v>
      </c>
      <c r="M7" s="156" t="s">
        <v>132</v>
      </c>
      <c r="N7" s="156">
        <f>L34</f>
        <v>8.8508921166329232E-2</v>
      </c>
    </row>
    <row r="8" spans="1:14" x14ac:dyDescent="0.15">
      <c r="A8" s="39" t="s">
        <v>126</v>
      </c>
      <c r="D8" s="46"/>
      <c r="E8" s="47"/>
      <c r="F8" s="50" t="s">
        <v>133</v>
      </c>
      <c r="G8" s="128">
        <v>1.0117268103267067</v>
      </c>
      <c r="H8" s="128"/>
      <c r="I8" s="156" t="s">
        <v>131</v>
      </c>
      <c r="J8" s="156">
        <f>H33</f>
        <v>1.1599999999999999E-2</v>
      </c>
      <c r="K8" s="156" t="s">
        <v>131</v>
      </c>
      <c r="L8" s="156">
        <f>J33</f>
        <v>2.3199999999999998E-2</v>
      </c>
      <c r="M8" s="156" t="s">
        <v>131</v>
      </c>
      <c r="N8" s="156">
        <f>L33</f>
        <v>7.3200000000000001E-2</v>
      </c>
    </row>
    <row r="9" spans="1:14" x14ac:dyDescent="0.15">
      <c r="A9" s="46" t="s">
        <v>379</v>
      </c>
      <c r="C9" s="46"/>
      <c r="D9" s="46"/>
      <c r="E9" s="46"/>
      <c r="F9" s="50" t="s">
        <v>96</v>
      </c>
      <c r="G9" s="128">
        <v>1.0173936834030901</v>
      </c>
      <c r="H9" s="133"/>
      <c r="I9" s="156" t="s">
        <v>85</v>
      </c>
      <c r="J9" s="156">
        <f>H31</f>
        <v>1.01E-2</v>
      </c>
      <c r="K9" s="156" t="s">
        <v>85</v>
      </c>
      <c r="L9" s="156">
        <f>J31</f>
        <v>1.6230000000000001E-2</v>
      </c>
      <c r="M9" s="156" t="s">
        <v>85</v>
      </c>
      <c r="N9" s="156">
        <f>L31</f>
        <v>4.1230000000000003E-2</v>
      </c>
    </row>
    <row r="10" spans="1:14" x14ac:dyDescent="0.15">
      <c r="A10" s="46" t="s">
        <v>428</v>
      </c>
      <c r="B10" s="46"/>
      <c r="C10" s="46"/>
      <c r="D10" s="46"/>
      <c r="E10" s="47"/>
      <c r="F10" s="50" t="s">
        <v>193</v>
      </c>
      <c r="G10" s="133">
        <f>AVERAGE(G7:G9)</f>
        <v>1.0163988861002526</v>
      </c>
      <c r="H10" s="46"/>
      <c r="I10" s="156" t="s">
        <v>86</v>
      </c>
      <c r="J10" s="156">
        <f>H30</f>
        <v>2.8185999999999999E-2</v>
      </c>
      <c r="K10" s="156" t="s">
        <v>86</v>
      </c>
      <c r="L10" s="156">
        <f>J30</f>
        <v>0.13397800000000001</v>
      </c>
      <c r="M10" s="156" t="s">
        <v>86</v>
      </c>
      <c r="N10" s="156">
        <f>L30</f>
        <v>0.57777800000000001</v>
      </c>
    </row>
    <row r="11" spans="1:14" x14ac:dyDescent="0.15">
      <c r="A11" s="46" t="s">
        <v>382</v>
      </c>
      <c r="B11" s="46"/>
      <c r="C11" s="46"/>
      <c r="D11" s="46"/>
      <c r="E11" s="47"/>
      <c r="F11" s="50" t="s">
        <v>308</v>
      </c>
      <c r="G11" s="46">
        <v>40</v>
      </c>
      <c r="H11" s="46"/>
      <c r="I11" s="156" t="s">
        <v>87</v>
      </c>
      <c r="J11" s="156">
        <f>H29</f>
        <v>3.5980999999999999E-2</v>
      </c>
      <c r="K11" s="156" t="s">
        <v>87</v>
      </c>
      <c r="L11" s="156">
        <f>J29</f>
        <v>4.3590999999999998E-2</v>
      </c>
      <c r="M11" s="156" t="s">
        <v>87</v>
      </c>
      <c r="N11" s="156">
        <f>L29</f>
        <v>6.8590999999999999E-2</v>
      </c>
    </row>
    <row r="12" spans="1:14" x14ac:dyDescent="0.15">
      <c r="A12" s="8"/>
      <c r="B12" s="46"/>
      <c r="C12" s="46"/>
      <c r="D12" s="46"/>
      <c r="E12" s="47"/>
      <c r="H12" s="46"/>
      <c r="I12" s="156" t="s">
        <v>88</v>
      </c>
      <c r="J12" s="156">
        <f>H28</f>
        <v>6.2E-4</v>
      </c>
      <c r="K12" s="156" t="s">
        <v>88</v>
      </c>
      <c r="L12" s="156">
        <f>J28</f>
        <v>9.2000000000000003E-4</v>
      </c>
      <c r="M12" s="156" t="s">
        <v>88</v>
      </c>
      <c r="N12" s="156">
        <f>L28</f>
        <v>1.592E-2</v>
      </c>
    </row>
    <row r="13" spans="1:14" x14ac:dyDescent="0.15">
      <c r="E13" s="47"/>
      <c r="H13" s="46"/>
      <c r="I13" s="156" t="s">
        <v>89</v>
      </c>
      <c r="J13" s="156">
        <f>H27</f>
        <v>2.0000000000000001E-4</v>
      </c>
      <c r="K13" s="156" t="s">
        <v>89</v>
      </c>
      <c r="L13" s="156">
        <f>J27</f>
        <v>7.208E-3</v>
      </c>
      <c r="M13" s="156" t="s">
        <v>89</v>
      </c>
      <c r="N13" s="156">
        <f>L27</f>
        <v>1.7208000000000001E-2</v>
      </c>
    </row>
    <row r="14" spans="1:14" x14ac:dyDescent="0.15">
      <c r="A14" s="46" t="s">
        <v>380</v>
      </c>
      <c r="E14" s="47"/>
      <c r="H14" s="46"/>
      <c r="I14" s="156" t="s">
        <v>90</v>
      </c>
      <c r="J14" s="156">
        <f>H26</f>
        <v>7.5000000000000002E-4</v>
      </c>
      <c r="K14" s="156" t="s">
        <v>90</v>
      </c>
      <c r="L14" s="156">
        <f>J26</f>
        <v>5.7499999999999999E-3</v>
      </c>
      <c r="M14" s="156" t="s">
        <v>90</v>
      </c>
      <c r="N14" s="156">
        <f>L26</f>
        <v>1.575E-2</v>
      </c>
    </row>
    <row r="15" spans="1:14" x14ac:dyDescent="0.15">
      <c r="A15" s="46" t="s">
        <v>364</v>
      </c>
      <c r="B15" t="s">
        <v>251</v>
      </c>
      <c r="C15" t="s">
        <v>252</v>
      </c>
      <c r="D15" s="46"/>
      <c r="E15" s="47"/>
      <c r="H15" s="46"/>
      <c r="I15" s="156" t="s">
        <v>91</v>
      </c>
      <c r="J15" s="156">
        <f>H25</f>
        <v>1E-3</v>
      </c>
      <c r="K15" s="156" t="s">
        <v>91</v>
      </c>
      <c r="L15" s="156">
        <f>J25</f>
        <v>1.5E-3</v>
      </c>
      <c r="M15" s="156" t="s">
        <v>91</v>
      </c>
      <c r="N15" s="156">
        <f>L25</f>
        <v>1.15E-2</v>
      </c>
    </row>
    <row r="16" spans="1:14" x14ac:dyDescent="0.15">
      <c r="A16" t="s">
        <v>253</v>
      </c>
      <c r="B16" t="s">
        <v>254</v>
      </c>
      <c r="C16" t="s">
        <v>255</v>
      </c>
      <c r="D16" s="46"/>
      <c r="E16" s="47"/>
      <c r="F16" s="50"/>
      <c r="G16" s="46"/>
      <c r="H16" s="46"/>
      <c r="I16" s="156" t="s">
        <v>92</v>
      </c>
      <c r="J16" s="156">
        <f>H24</f>
        <v>2.5000000000000001E-3</v>
      </c>
      <c r="K16" s="156" t="s">
        <v>92</v>
      </c>
      <c r="L16" s="156">
        <f>J24</f>
        <v>7.4999999999999997E-3</v>
      </c>
      <c r="M16" s="156" t="s">
        <v>92</v>
      </c>
      <c r="N16" s="156">
        <f>L24</f>
        <v>1.7500000000000002E-2</v>
      </c>
    </row>
    <row r="17" spans="1:14" x14ac:dyDescent="0.15">
      <c r="D17" s="46"/>
      <c r="E17" s="47"/>
      <c r="F17" s="50"/>
      <c r="G17" s="46"/>
      <c r="H17" s="46"/>
      <c r="I17" s="156" t="s">
        <v>93</v>
      </c>
      <c r="J17" s="156">
        <f>H23</f>
        <v>3.5E-4</v>
      </c>
      <c r="K17" s="156" t="s">
        <v>93</v>
      </c>
      <c r="L17" s="156">
        <f>J23</f>
        <v>6.6499999999999997E-3</v>
      </c>
      <c r="M17" s="156" t="s">
        <v>93</v>
      </c>
      <c r="N17" s="156">
        <f>L23</f>
        <v>1.6650000000000002E-2</v>
      </c>
    </row>
    <row r="18" spans="1:14" x14ac:dyDescent="0.15">
      <c r="A18" s="53"/>
      <c r="B18" s="53"/>
      <c r="C18" s="53"/>
      <c r="D18" s="53"/>
      <c r="E18" s="54"/>
      <c r="F18" s="55"/>
      <c r="G18" s="53"/>
      <c r="H18" s="53"/>
      <c r="I18" s="16"/>
      <c r="J18" s="16"/>
      <c r="K18" s="16"/>
      <c r="L18" s="16"/>
      <c r="M18" s="16"/>
      <c r="N18" s="16"/>
    </row>
    <row r="19" spans="1:14" x14ac:dyDescent="0.15">
      <c r="B19" s="5"/>
      <c r="F19" s="39"/>
    </row>
    <row r="20" spans="1:14" ht="22.5" x14ac:dyDescent="0.15">
      <c r="A20" s="165" t="s">
        <v>381</v>
      </c>
      <c r="B20" s="22" t="s">
        <v>57</v>
      </c>
      <c r="C20" s="22" t="s">
        <v>376</v>
      </c>
      <c r="D20" s="216"/>
      <c r="E20" s="216"/>
      <c r="F20" s="216"/>
    </row>
    <row r="21" spans="1:14" x14ac:dyDescent="0.15">
      <c r="B21" s="20" t="s">
        <v>42</v>
      </c>
      <c r="C21" s="2" t="s">
        <v>477</v>
      </c>
      <c r="D21" s="217"/>
      <c r="E21" s="217"/>
      <c r="F21" s="217"/>
      <c r="G21" s="37"/>
      <c r="H21" s="37"/>
      <c r="I21" s="37"/>
      <c r="J21" s="37"/>
      <c r="K21" s="37"/>
      <c r="L21" s="37"/>
    </row>
    <row r="22" spans="1:14" ht="12" thickBot="1" x14ac:dyDescent="0.2">
      <c r="A22" s="57" t="s">
        <v>465</v>
      </c>
      <c r="B22" s="60" t="s">
        <v>60</v>
      </c>
      <c r="C22" s="61" t="s">
        <v>210</v>
      </c>
      <c r="D22" s="218"/>
      <c r="E22" s="214"/>
      <c r="F22" s="1"/>
      <c r="G22" s="158" t="s">
        <v>247</v>
      </c>
      <c r="H22" s="156" t="s">
        <v>280</v>
      </c>
      <c r="I22" s="158" t="s">
        <v>248</v>
      </c>
      <c r="J22" s="156" t="s">
        <v>280</v>
      </c>
      <c r="K22" s="158" t="s">
        <v>249</v>
      </c>
      <c r="L22" s="156" t="s">
        <v>280</v>
      </c>
    </row>
    <row r="23" spans="1:14" x14ac:dyDescent="0.15">
      <c r="A23" s="59" t="s">
        <v>142</v>
      </c>
      <c r="B23" s="1" t="s">
        <v>82</v>
      </c>
      <c r="C23" s="240">
        <v>6.9980000000000002</v>
      </c>
      <c r="D23" s="136"/>
      <c r="E23" s="8"/>
      <c r="F23" s="1"/>
      <c r="G23" s="149" t="s">
        <v>93</v>
      </c>
      <c r="H23" s="149">
        <v>3.5E-4</v>
      </c>
      <c r="I23" s="149" t="s">
        <v>93</v>
      </c>
      <c r="J23" s="149">
        <v>6.6499999999999997E-3</v>
      </c>
      <c r="K23" s="149" t="s">
        <v>93</v>
      </c>
      <c r="L23" s="149">
        <v>1.6650000000000002E-2</v>
      </c>
    </row>
    <row r="24" spans="1:14" x14ac:dyDescent="0.15">
      <c r="A24" s="59"/>
      <c r="B24" s="1" t="s">
        <v>83</v>
      </c>
      <c r="C24" s="240">
        <v>0.41399999999999998</v>
      </c>
      <c r="D24" s="136"/>
      <c r="E24" s="8"/>
      <c r="F24" s="1"/>
      <c r="G24" s="149" t="s">
        <v>92</v>
      </c>
      <c r="H24" s="149">
        <v>2.5000000000000001E-3</v>
      </c>
      <c r="I24" s="149" t="s">
        <v>92</v>
      </c>
      <c r="J24" s="149">
        <v>7.4999999999999997E-3</v>
      </c>
      <c r="K24" s="149" t="s">
        <v>92</v>
      </c>
      <c r="L24" s="149">
        <v>1.7500000000000002E-2</v>
      </c>
    </row>
    <row r="25" spans="1:14" x14ac:dyDescent="0.15">
      <c r="A25" s="59"/>
      <c r="B25" t="s">
        <v>132</v>
      </c>
      <c r="C25" s="240">
        <v>13.816000000000001</v>
      </c>
      <c r="D25" s="136"/>
      <c r="E25" s="8"/>
      <c r="F25" s="1"/>
      <c r="G25" s="149" t="s">
        <v>91</v>
      </c>
      <c r="H25" s="149">
        <v>1E-3</v>
      </c>
      <c r="I25" s="149" t="s">
        <v>91</v>
      </c>
      <c r="J25" s="149">
        <v>1.5E-3</v>
      </c>
      <c r="K25" s="149" t="s">
        <v>91</v>
      </c>
      <c r="L25" s="149">
        <v>1.15E-2</v>
      </c>
    </row>
    <row r="26" spans="1:14" x14ac:dyDescent="0.15">
      <c r="A26" s="59"/>
      <c r="B26" t="s">
        <v>131</v>
      </c>
      <c r="C26" s="240">
        <v>11.6</v>
      </c>
      <c r="D26" s="136"/>
      <c r="E26" s="8"/>
      <c r="F26" s="8"/>
      <c r="G26" s="149" t="s">
        <v>90</v>
      </c>
      <c r="H26" s="149">
        <v>7.5000000000000002E-4</v>
      </c>
      <c r="I26" s="149" t="s">
        <v>90</v>
      </c>
      <c r="J26" s="149">
        <v>5.7499999999999999E-3</v>
      </c>
      <c r="K26" s="149" t="s">
        <v>90</v>
      </c>
      <c r="L26" s="149">
        <v>1.575E-2</v>
      </c>
    </row>
    <row r="27" spans="1:14" x14ac:dyDescent="0.15">
      <c r="A27" s="59"/>
      <c r="B27" t="s">
        <v>84</v>
      </c>
      <c r="C27" s="240">
        <v>14.200000000000001</v>
      </c>
      <c r="D27" s="136"/>
      <c r="E27" s="8"/>
      <c r="F27" s="1"/>
      <c r="G27" s="149" t="s">
        <v>89</v>
      </c>
      <c r="H27" s="149">
        <v>2.0000000000000001E-4</v>
      </c>
      <c r="I27" s="149" t="s">
        <v>89</v>
      </c>
      <c r="J27" s="149">
        <v>7.208E-3</v>
      </c>
      <c r="K27" s="149" t="s">
        <v>89</v>
      </c>
      <c r="L27" s="149">
        <v>1.7208000000000001E-2</v>
      </c>
    </row>
    <row r="28" spans="1:14" x14ac:dyDescent="0.15">
      <c r="A28" s="59"/>
      <c r="B28" t="s">
        <v>85</v>
      </c>
      <c r="C28" s="240">
        <v>10.1</v>
      </c>
      <c r="D28" s="136"/>
      <c r="E28" s="8"/>
      <c r="F28" s="8"/>
      <c r="G28" s="149" t="s">
        <v>88</v>
      </c>
      <c r="H28" s="149">
        <v>6.2E-4</v>
      </c>
      <c r="I28" s="149" t="s">
        <v>88</v>
      </c>
      <c r="J28" s="149">
        <v>9.2000000000000003E-4</v>
      </c>
      <c r="K28" s="149" t="s">
        <v>88</v>
      </c>
      <c r="L28" s="149">
        <v>1.592E-2</v>
      </c>
    </row>
    <row r="29" spans="1:14" x14ac:dyDescent="0.15">
      <c r="A29" s="59"/>
      <c r="B29" t="s">
        <v>86</v>
      </c>
      <c r="C29" s="240">
        <v>28.186</v>
      </c>
      <c r="D29" s="136"/>
      <c r="E29" s="8"/>
      <c r="F29" s="1"/>
      <c r="G29" s="149" t="s">
        <v>87</v>
      </c>
      <c r="H29" s="149">
        <v>3.5980999999999999E-2</v>
      </c>
      <c r="I29" s="149" t="s">
        <v>87</v>
      </c>
      <c r="J29" s="149">
        <v>4.3590999999999998E-2</v>
      </c>
      <c r="K29" s="149" t="s">
        <v>87</v>
      </c>
      <c r="L29" s="149">
        <v>6.8590999999999999E-2</v>
      </c>
    </row>
    <row r="30" spans="1:14" x14ac:dyDescent="0.15">
      <c r="A30" s="59"/>
      <c r="B30" t="s">
        <v>303</v>
      </c>
      <c r="C30" s="240">
        <v>35.981000000000002</v>
      </c>
      <c r="D30" s="136"/>
      <c r="E30" s="8"/>
      <c r="F30" s="1"/>
      <c r="G30" s="149" t="s">
        <v>86</v>
      </c>
      <c r="H30" s="149">
        <v>2.8185999999999999E-2</v>
      </c>
      <c r="I30" s="149" t="s">
        <v>86</v>
      </c>
      <c r="J30" s="149">
        <v>0.13397800000000001</v>
      </c>
      <c r="K30" s="149" t="s">
        <v>86</v>
      </c>
      <c r="L30" s="149">
        <v>0.57777800000000001</v>
      </c>
    </row>
    <row r="31" spans="1:14" x14ac:dyDescent="0.15">
      <c r="A31" s="59"/>
      <c r="B31" t="s">
        <v>88</v>
      </c>
      <c r="C31" s="240">
        <v>0.62</v>
      </c>
      <c r="D31" s="136"/>
      <c r="E31" s="8"/>
      <c r="F31" s="1"/>
      <c r="G31" s="149" t="s">
        <v>85</v>
      </c>
      <c r="H31" s="149">
        <v>1.01E-2</v>
      </c>
      <c r="I31" s="149" t="s">
        <v>85</v>
      </c>
      <c r="J31" s="149">
        <v>1.6230000000000001E-2</v>
      </c>
      <c r="K31" s="149" t="s">
        <v>85</v>
      </c>
      <c r="L31" s="149">
        <v>4.1230000000000003E-2</v>
      </c>
    </row>
    <row r="32" spans="1:14" x14ac:dyDescent="0.15">
      <c r="A32" s="59"/>
      <c r="B32" t="s">
        <v>89</v>
      </c>
      <c r="C32" s="240">
        <v>0.2</v>
      </c>
      <c r="D32" s="136"/>
      <c r="E32" s="8"/>
      <c r="F32" s="8"/>
      <c r="G32" s="149" t="s">
        <v>84</v>
      </c>
      <c r="H32" s="149">
        <v>1.4200000000000001E-2</v>
      </c>
      <c r="I32" s="149" t="s">
        <v>84</v>
      </c>
      <c r="J32" s="149">
        <v>2.0060000000000001E-2</v>
      </c>
      <c r="K32" s="149" t="s">
        <v>84</v>
      </c>
      <c r="L32" s="149">
        <v>2.0060000000000001E-2</v>
      </c>
    </row>
    <row r="33" spans="1:12" x14ac:dyDescent="0.15">
      <c r="A33" s="59"/>
      <c r="B33" t="s">
        <v>90</v>
      </c>
      <c r="C33" s="240">
        <v>0.75</v>
      </c>
      <c r="D33" s="136"/>
      <c r="E33" s="8"/>
      <c r="F33" s="1"/>
      <c r="G33" s="149" t="s">
        <v>131</v>
      </c>
      <c r="H33" s="149">
        <v>1.1599999999999999E-2</v>
      </c>
      <c r="I33" s="149" t="s">
        <v>131</v>
      </c>
      <c r="J33" s="149">
        <v>2.3199999999999998E-2</v>
      </c>
      <c r="K33" s="149" t="s">
        <v>131</v>
      </c>
      <c r="L33" s="149">
        <v>7.3200000000000001E-2</v>
      </c>
    </row>
    <row r="34" spans="1:12" x14ac:dyDescent="0.15">
      <c r="A34" s="59"/>
      <c r="B34" t="s">
        <v>91</v>
      </c>
      <c r="C34" s="240">
        <v>1</v>
      </c>
      <c r="D34" s="136"/>
      <c r="E34" s="8"/>
      <c r="F34" s="1"/>
      <c r="G34" s="149" t="s">
        <v>132</v>
      </c>
      <c r="H34" s="149">
        <v>1.3816E-2</v>
      </c>
      <c r="I34" s="149" t="s">
        <v>132</v>
      </c>
      <c r="J34" s="149">
        <v>2.4101999999999998E-2</v>
      </c>
      <c r="K34" s="149" t="s">
        <v>132</v>
      </c>
      <c r="L34" s="149">
        <v>8.8508921166329232E-2</v>
      </c>
    </row>
    <row r="35" spans="1:12" x14ac:dyDescent="0.15">
      <c r="A35" s="59"/>
      <c r="B35" t="s">
        <v>92</v>
      </c>
      <c r="C35" s="240">
        <v>2.5</v>
      </c>
      <c r="D35" s="136"/>
      <c r="E35" s="8"/>
      <c r="F35" s="1"/>
      <c r="G35" s="149" t="s">
        <v>83</v>
      </c>
      <c r="H35" s="149">
        <v>4.1399999999999998E-4</v>
      </c>
      <c r="I35" s="149" t="s">
        <v>83</v>
      </c>
      <c r="J35" s="149">
        <v>1.9564000000000002E-2</v>
      </c>
      <c r="K35" s="149" t="s">
        <v>83</v>
      </c>
      <c r="L35" s="149">
        <v>0.21956400000000001</v>
      </c>
    </row>
    <row r="36" spans="1:12" x14ac:dyDescent="0.15">
      <c r="A36" s="59"/>
      <c r="B36" t="s">
        <v>93</v>
      </c>
      <c r="C36" s="240">
        <v>0.35</v>
      </c>
      <c r="D36" s="136"/>
      <c r="E36" s="8"/>
      <c r="F36" s="1"/>
      <c r="G36" s="149" t="s">
        <v>82</v>
      </c>
      <c r="H36" s="149">
        <v>6.9979999999999999E-3</v>
      </c>
      <c r="I36" s="149" t="s">
        <v>82</v>
      </c>
      <c r="J36" s="149">
        <v>8.4053000000000003E-2</v>
      </c>
      <c r="K36" s="149" t="s">
        <v>82</v>
      </c>
      <c r="L36" s="149">
        <v>0.18405299999999999</v>
      </c>
    </row>
    <row r="37" spans="1:12" x14ac:dyDescent="0.15">
      <c r="A37" s="59"/>
      <c r="B37" t="s">
        <v>272</v>
      </c>
      <c r="C37" s="240">
        <v>0</v>
      </c>
      <c r="D37" s="136"/>
      <c r="E37" s="8"/>
      <c r="F37" s="1"/>
      <c r="G37" s="149" t="s">
        <v>272</v>
      </c>
      <c r="H37" s="149">
        <v>0</v>
      </c>
      <c r="I37" s="149" t="s">
        <v>272</v>
      </c>
      <c r="J37" s="149">
        <v>1.38E-2</v>
      </c>
      <c r="K37" s="149" t="s">
        <v>272</v>
      </c>
      <c r="L37" s="149">
        <v>1.38E-2</v>
      </c>
    </row>
    <row r="38" spans="1:12" x14ac:dyDescent="0.15">
      <c r="A38" s="59"/>
      <c r="B38" t="s">
        <v>273</v>
      </c>
      <c r="C38" s="240">
        <v>17</v>
      </c>
      <c r="D38" s="136"/>
      <c r="E38" s="8"/>
      <c r="F38" s="1"/>
      <c r="G38" s="149" t="s">
        <v>273</v>
      </c>
      <c r="H38" s="149">
        <v>1.7000000000000001E-2</v>
      </c>
      <c r="I38" s="149" t="s">
        <v>273</v>
      </c>
      <c r="J38" s="149">
        <v>5.4625E-2</v>
      </c>
      <c r="K38" s="149" t="s">
        <v>273</v>
      </c>
      <c r="L38" s="149">
        <v>0.29021807883367079</v>
      </c>
    </row>
    <row r="39" spans="1:12" x14ac:dyDescent="0.15">
      <c r="A39" s="59"/>
      <c r="B39" t="s">
        <v>274</v>
      </c>
      <c r="C39" s="240">
        <v>4.1770000000000005</v>
      </c>
      <c r="D39" s="136"/>
      <c r="E39" s="8"/>
      <c r="F39" s="1"/>
      <c r="G39" s="149" t="s">
        <v>274</v>
      </c>
      <c r="H39" s="149">
        <v>4.1770000000000002E-3</v>
      </c>
      <c r="I39" s="149" t="s">
        <v>274</v>
      </c>
      <c r="J39" s="149">
        <v>1.0177E-2</v>
      </c>
      <c r="K39" s="149" t="s">
        <v>274</v>
      </c>
      <c r="L39" s="149">
        <v>1.0177E-2</v>
      </c>
    </row>
    <row r="40" spans="1:12" x14ac:dyDescent="0.15">
      <c r="A40" s="59"/>
      <c r="B40" t="s">
        <v>275</v>
      </c>
      <c r="C40" s="240">
        <v>22.091999999999999</v>
      </c>
      <c r="D40" s="136"/>
      <c r="E40" s="8"/>
      <c r="F40" s="1"/>
      <c r="G40" s="149" t="s">
        <v>275</v>
      </c>
      <c r="H40" s="149">
        <v>2.2092000000000001E-2</v>
      </c>
      <c r="I40" s="149" t="s">
        <v>275</v>
      </c>
      <c r="J40" s="149">
        <v>2.9614999999999999E-2</v>
      </c>
      <c r="K40" s="149" t="s">
        <v>275</v>
      </c>
      <c r="L40" s="149">
        <v>2.9614999999999999E-2</v>
      </c>
    </row>
    <row r="41" spans="1:12" x14ac:dyDescent="0.15">
      <c r="A41" s="59"/>
      <c r="B41" s="1" t="s">
        <v>309</v>
      </c>
      <c r="C41" s="240">
        <v>12.652999999999999</v>
      </c>
      <c r="D41" s="136"/>
      <c r="E41" s="8"/>
      <c r="F41" s="1"/>
      <c r="G41" s="149" t="s">
        <v>309</v>
      </c>
      <c r="H41" s="149">
        <v>1.2652999999999999E-2</v>
      </c>
      <c r="I41" s="149" t="s">
        <v>276</v>
      </c>
      <c r="J41" s="149">
        <v>1.6316000000000001E-2</v>
      </c>
      <c r="K41" s="149" t="s">
        <v>309</v>
      </c>
      <c r="L41" s="149">
        <v>1.6316000000000001E-2</v>
      </c>
    </row>
    <row r="42" spans="1:12" x14ac:dyDescent="0.15">
      <c r="A42" s="59"/>
      <c r="B42" s="1" t="s">
        <v>283</v>
      </c>
      <c r="C42" s="88">
        <v>87.817000000000007</v>
      </c>
      <c r="D42" s="136"/>
      <c r="E42" s="8"/>
      <c r="F42" s="1"/>
      <c r="G42" t="s">
        <v>60</v>
      </c>
      <c r="H42" s="121" t="s">
        <v>363</v>
      </c>
      <c r="I42" s="37" t="s">
        <v>305</v>
      </c>
      <c r="J42" s="121" t="s">
        <v>302</v>
      </c>
      <c r="K42" t="s">
        <v>60</v>
      </c>
      <c r="L42" s="121" t="s">
        <v>304</v>
      </c>
    </row>
    <row r="43" spans="1:12" x14ac:dyDescent="0.15">
      <c r="A43" s="59"/>
      <c r="B43" s="1" t="s">
        <v>284</v>
      </c>
      <c r="C43" s="88">
        <v>673.3130000000001</v>
      </c>
      <c r="D43" s="136"/>
      <c r="E43" s="8"/>
      <c r="F43" s="1"/>
      <c r="G43" t="s">
        <v>92</v>
      </c>
      <c r="H43" s="114">
        <v>45107.212317489124</v>
      </c>
      <c r="I43">
        <v>4.5107212317489126E-2</v>
      </c>
      <c r="J43">
        <v>1869</v>
      </c>
      <c r="K43" t="s">
        <v>92</v>
      </c>
      <c r="L43">
        <v>55600</v>
      </c>
    </row>
    <row r="44" spans="1:12" x14ac:dyDescent="0.15">
      <c r="A44" s="59"/>
      <c r="B44" t="s">
        <v>285</v>
      </c>
      <c r="C44" s="88">
        <v>1826.444</v>
      </c>
      <c r="D44" s="136"/>
      <c r="E44" s="8"/>
      <c r="F44" s="1"/>
      <c r="G44" t="s">
        <v>84</v>
      </c>
      <c r="H44" s="114">
        <v>74340.904559366871</v>
      </c>
      <c r="I44">
        <v>7.4340904559366872E-2</v>
      </c>
      <c r="J44">
        <v>2470</v>
      </c>
      <c r="K44" t="s">
        <v>84</v>
      </c>
      <c r="L44">
        <v>91634</v>
      </c>
    </row>
    <row r="45" spans="1:12" x14ac:dyDescent="0.15">
      <c r="A45" s="59"/>
      <c r="B45" t="s">
        <v>286</v>
      </c>
      <c r="C45" s="88">
        <v>270.19100000000003</v>
      </c>
      <c r="D45" s="136"/>
      <c r="E45" s="8"/>
      <c r="F45" s="1"/>
      <c r="G45" t="s">
        <v>89</v>
      </c>
      <c r="H45" s="114">
        <v>103676.00690087928</v>
      </c>
      <c r="I45">
        <v>0.10367600690087928</v>
      </c>
      <c r="J45">
        <v>2798</v>
      </c>
      <c r="K45" t="s">
        <v>89</v>
      </c>
      <c r="L45">
        <v>127793</v>
      </c>
    </row>
    <row r="46" spans="1:12" x14ac:dyDescent="0.15">
      <c r="A46" s="59"/>
      <c r="B46" t="s">
        <v>287</v>
      </c>
      <c r="C46" s="88">
        <v>91.633999999999986</v>
      </c>
      <c r="D46" s="136"/>
      <c r="E46" s="8"/>
      <c r="F46" s="1"/>
      <c r="G46" t="s">
        <v>91</v>
      </c>
      <c r="H46" s="114">
        <v>31056.640192910094</v>
      </c>
      <c r="I46">
        <v>3.1056640192910094E-2</v>
      </c>
      <c r="J46">
        <v>0</v>
      </c>
      <c r="K46" t="s">
        <v>91</v>
      </c>
      <c r="L46">
        <v>38281</v>
      </c>
    </row>
    <row r="47" spans="1:12" x14ac:dyDescent="0.15">
      <c r="A47" s="59"/>
      <c r="B47" t="s">
        <v>288</v>
      </c>
      <c r="C47" s="88">
        <v>533.22499999999991</v>
      </c>
      <c r="D47" s="136"/>
      <c r="E47" s="8"/>
      <c r="F47" s="1"/>
      <c r="G47" t="s">
        <v>93</v>
      </c>
      <c r="H47" s="114">
        <v>12910.722604685647</v>
      </c>
      <c r="I47">
        <v>1.2910722604685647E-2</v>
      </c>
      <c r="J47">
        <v>0</v>
      </c>
      <c r="K47" t="s">
        <v>93</v>
      </c>
      <c r="L47">
        <v>15914</v>
      </c>
    </row>
    <row r="48" spans="1:12" x14ac:dyDescent="0.15">
      <c r="A48" s="59"/>
      <c r="B48" t="s">
        <v>289</v>
      </c>
      <c r="C48" s="88">
        <v>849.73400000000004</v>
      </c>
      <c r="D48" s="136"/>
      <c r="E48" s="8"/>
      <c r="F48" s="1"/>
      <c r="G48" t="s">
        <v>275</v>
      </c>
      <c r="H48" s="114">
        <v>80113.167430570757</v>
      </c>
      <c r="I48">
        <v>8.0113167430570759E-2</v>
      </c>
      <c r="J48">
        <v>21388</v>
      </c>
      <c r="K48" t="s">
        <v>275</v>
      </c>
      <c r="L48">
        <v>98749</v>
      </c>
    </row>
    <row r="49" spans="1:12" x14ac:dyDescent="0.15">
      <c r="A49" s="59"/>
      <c r="B49" t="s">
        <v>306</v>
      </c>
      <c r="C49" s="88">
        <v>154.58199999999999</v>
      </c>
      <c r="D49" s="136"/>
      <c r="E49" s="8"/>
      <c r="F49" s="1"/>
      <c r="G49" t="s">
        <v>85</v>
      </c>
      <c r="H49" s="114">
        <v>432595.20302145934</v>
      </c>
      <c r="I49">
        <v>0.43259520302145932</v>
      </c>
      <c r="J49">
        <v>34871</v>
      </c>
      <c r="K49" t="s">
        <v>85</v>
      </c>
      <c r="L49">
        <v>533225</v>
      </c>
    </row>
    <row r="50" spans="1:12" x14ac:dyDescent="0.15">
      <c r="A50" s="59"/>
      <c r="B50" t="s">
        <v>290</v>
      </c>
      <c r="C50" s="88">
        <v>127.35599999999999</v>
      </c>
      <c r="D50" s="136"/>
      <c r="E50" s="8"/>
      <c r="F50" s="1"/>
      <c r="G50" t="s">
        <v>90</v>
      </c>
      <c r="H50" s="114">
        <v>18696.777249439827</v>
      </c>
      <c r="I50">
        <v>1.8696777249439828E-2</v>
      </c>
      <c r="J50">
        <v>0</v>
      </c>
      <c r="K50" t="s">
        <v>90</v>
      </c>
      <c r="L50">
        <v>23046</v>
      </c>
    </row>
    <row r="51" spans="1:12" x14ac:dyDescent="0.15">
      <c r="A51" s="59"/>
      <c r="B51" t="s">
        <v>291</v>
      </c>
      <c r="C51" s="88">
        <v>127.79299999999999</v>
      </c>
      <c r="D51" s="136"/>
      <c r="E51" s="8"/>
      <c r="F51" s="1"/>
      <c r="G51" t="s">
        <v>82</v>
      </c>
      <c r="H51" s="114">
        <v>71244.245756923425</v>
      </c>
      <c r="I51">
        <v>7.1244245756923424E-2</v>
      </c>
      <c r="J51">
        <v>4826</v>
      </c>
      <c r="K51" t="s">
        <v>82</v>
      </c>
      <c r="L51">
        <v>87817</v>
      </c>
    </row>
    <row r="52" spans="1:12" x14ac:dyDescent="0.15">
      <c r="A52" s="59"/>
      <c r="B52" t="s">
        <v>293</v>
      </c>
      <c r="C52" s="88">
        <v>23.045999999999999</v>
      </c>
      <c r="D52" s="136"/>
      <c r="E52" s="8"/>
      <c r="F52" s="1"/>
      <c r="G52" t="s">
        <v>274</v>
      </c>
      <c r="H52" s="114">
        <v>107295.94181743749</v>
      </c>
      <c r="I52">
        <v>0.10729594181743748</v>
      </c>
      <c r="J52">
        <v>4500</v>
      </c>
      <c r="K52" t="s">
        <v>274</v>
      </c>
      <c r="L52">
        <v>132255</v>
      </c>
    </row>
    <row r="53" spans="1:12" x14ac:dyDescent="0.15">
      <c r="A53" s="59"/>
      <c r="B53" t="s">
        <v>292</v>
      </c>
      <c r="C53" s="88">
        <v>38.281000000000006</v>
      </c>
      <c r="D53" s="136"/>
      <c r="E53" s="8"/>
      <c r="F53" s="1"/>
      <c r="G53" t="s">
        <v>303</v>
      </c>
      <c r="H53" s="114">
        <v>125409.40817377884</v>
      </c>
      <c r="I53">
        <v>0.12540940817377882</v>
      </c>
      <c r="J53">
        <v>26374</v>
      </c>
      <c r="K53" t="s">
        <v>303</v>
      </c>
      <c r="L53">
        <v>154582</v>
      </c>
    </row>
    <row r="54" spans="1:12" x14ac:dyDescent="0.15">
      <c r="A54" s="59"/>
      <c r="B54" t="s">
        <v>294</v>
      </c>
      <c r="C54" s="88">
        <v>55.599999999999994</v>
      </c>
      <c r="D54" s="136"/>
      <c r="E54" s="8"/>
      <c r="F54" s="1"/>
      <c r="G54" t="s">
        <v>132</v>
      </c>
      <c r="H54" s="114">
        <v>1481758.9441367644</v>
      </c>
      <c r="I54">
        <v>1.4817589441367645</v>
      </c>
      <c r="J54">
        <v>18961</v>
      </c>
      <c r="K54" t="s">
        <v>132</v>
      </c>
      <c r="L54">
        <v>1826444</v>
      </c>
    </row>
    <row r="55" spans="1:12" x14ac:dyDescent="0.15">
      <c r="A55" s="59"/>
      <c r="B55" t="s">
        <v>295</v>
      </c>
      <c r="C55" s="88">
        <v>15.914000000000001</v>
      </c>
      <c r="D55" s="136"/>
      <c r="E55" s="8"/>
      <c r="F55" s="1"/>
      <c r="G55" t="s">
        <v>131</v>
      </c>
      <c r="H55" s="114">
        <v>219200.76984307021</v>
      </c>
      <c r="I55">
        <v>0.21920076984307021</v>
      </c>
      <c r="J55">
        <v>5352</v>
      </c>
      <c r="K55" t="s">
        <v>131</v>
      </c>
      <c r="L55">
        <v>270191</v>
      </c>
    </row>
    <row r="56" spans="1:12" x14ac:dyDescent="0.15">
      <c r="A56" s="59"/>
      <c r="B56" t="s">
        <v>296</v>
      </c>
      <c r="C56" s="88">
        <v>4.5869999999999997</v>
      </c>
      <c r="D56" s="136"/>
      <c r="E56" s="8"/>
      <c r="F56" s="1"/>
      <c r="G56" t="s">
        <v>88</v>
      </c>
      <c r="H56" s="114">
        <v>103321.47719255659</v>
      </c>
      <c r="I56">
        <v>0.10332147719255659</v>
      </c>
      <c r="J56">
        <v>4</v>
      </c>
      <c r="K56" t="s">
        <v>88</v>
      </c>
      <c r="L56">
        <v>127356</v>
      </c>
    </row>
    <row r="57" spans="1:12" x14ac:dyDescent="0.15">
      <c r="A57" s="59"/>
      <c r="B57" t="s">
        <v>297</v>
      </c>
      <c r="C57" s="88">
        <v>979.64</v>
      </c>
      <c r="D57" s="136"/>
      <c r="E57" s="8"/>
      <c r="F57" s="1"/>
      <c r="G57" s="8" t="s">
        <v>86</v>
      </c>
      <c r="H57" s="114">
        <v>689372.87682354858</v>
      </c>
      <c r="I57">
        <v>0.68937287682354853</v>
      </c>
      <c r="J57">
        <v>29522</v>
      </c>
      <c r="K57" s="8" t="s">
        <v>86</v>
      </c>
      <c r="L57">
        <v>849734</v>
      </c>
    </row>
    <row r="58" spans="1:12" x14ac:dyDescent="0.15">
      <c r="A58" s="59"/>
      <c r="B58" t="s">
        <v>298</v>
      </c>
      <c r="C58" s="88">
        <v>132.25500000000002</v>
      </c>
      <c r="D58" s="136"/>
      <c r="E58" s="8"/>
      <c r="F58" s="1"/>
      <c r="G58" s="1" t="s">
        <v>272</v>
      </c>
      <c r="H58" s="114">
        <v>3721.3450161928527</v>
      </c>
      <c r="I58">
        <v>3.7213450161928526E-3</v>
      </c>
      <c r="J58">
        <v>0</v>
      </c>
      <c r="K58" s="1" t="s">
        <v>272</v>
      </c>
      <c r="L58">
        <v>4587</v>
      </c>
    </row>
    <row r="59" spans="1:12" x14ac:dyDescent="0.15">
      <c r="A59" s="59"/>
      <c r="B59" t="s">
        <v>299</v>
      </c>
      <c r="C59" s="88">
        <v>98.749000000000009</v>
      </c>
      <c r="D59" s="136"/>
      <c r="E59" s="8"/>
      <c r="F59" s="1"/>
      <c r="G59" s="1" t="s">
        <v>273</v>
      </c>
      <c r="H59" s="114">
        <v>794763.12004865194</v>
      </c>
      <c r="I59">
        <v>0.79476312004865191</v>
      </c>
      <c r="J59">
        <v>26669</v>
      </c>
      <c r="K59" s="1" t="s">
        <v>273</v>
      </c>
      <c r="L59">
        <v>979640</v>
      </c>
    </row>
    <row r="60" spans="1:12" ht="12" thickBot="1" x14ac:dyDescent="0.2">
      <c r="A60" s="63"/>
      <c r="B60" s="16" t="s">
        <v>311</v>
      </c>
      <c r="C60" s="116">
        <v>319.45699999999999</v>
      </c>
      <c r="D60" s="136"/>
      <c r="E60" s="8"/>
      <c r="F60" s="1"/>
      <c r="G60" s="1" t="s">
        <v>309</v>
      </c>
      <c r="H60" s="114">
        <v>259169.32959187275</v>
      </c>
      <c r="I60">
        <v>0.25916932959187278</v>
      </c>
      <c r="J60">
        <v>24007</v>
      </c>
      <c r="K60" s="1" t="s">
        <v>309</v>
      </c>
      <c r="L60">
        <v>319457</v>
      </c>
    </row>
    <row r="61" spans="1:12" x14ac:dyDescent="0.15">
      <c r="A61" s="58" t="s">
        <v>256</v>
      </c>
      <c r="B61" s="1" t="s">
        <v>82</v>
      </c>
      <c r="C61" s="240">
        <v>84.052999999999997</v>
      </c>
      <c r="D61" s="136"/>
      <c r="E61" s="8"/>
      <c r="F61" s="1"/>
      <c r="G61" t="s">
        <v>83</v>
      </c>
      <c r="H61" s="114">
        <v>546245.907322402</v>
      </c>
      <c r="I61">
        <v>0.54624590732240197</v>
      </c>
      <c r="J61">
        <v>1510</v>
      </c>
      <c r="K61" t="s">
        <v>83</v>
      </c>
      <c r="L61">
        <v>673313</v>
      </c>
    </row>
    <row r="62" spans="1:12" x14ac:dyDescent="0.15">
      <c r="A62" s="58"/>
      <c r="B62" s="1" t="s">
        <v>83</v>
      </c>
      <c r="C62" s="240">
        <v>19.564</v>
      </c>
      <c r="D62" s="136"/>
      <c r="E62" s="8"/>
      <c r="F62" s="1"/>
      <c r="G62" s="1"/>
      <c r="H62" t="s">
        <v>142</v>
      </c>
      <c r="I62" t="s">
        <v>307</v>
      </c>
      <c r="K62" s="1"/>
      <c r="L62" t="s">
        <v>142</v>
      </c>
    </row>
    <row r="63" spans="1:12" x14ac:dyDescent="0.15">
      <c r="A63" s="58"/>
      <c r="B63" t="s">
        <v>132</v>
      </c>
      <c r="C63" s="240">
        <v>24.101999999999997</v>
      </c>
      <c r="D63" s="136"/>
      <c r="E63" s="8"/>
      <c r="F63" s="1"/>
      <c r="G63" s="1" t="s">
        <v>283</v>
      </c>
      <c r="H63">
        <v>7.1244245756923424E-2</v>
      </c>
      <c r="I63">
        <f>H63*$G$7^$G$11</f>
        <v>0.15778066633337465</v>
      </c>
      <c r="K63" s="1" t="s">
        <v>283</v>
      </c>
      <c r="L63">
        <f>M51</f>
        <v>0</v>
      </c>
    </row>
    <row r="64" spans="1:12" x14ac:dyDescent="0.15">
      <c r="A64" s="58"/>
      <c r="B64" t="s">
        <v>131</v>
      </c>
      <c r="C64" s="240">
        <v>23.2</v>
      </c>
      <c r="D64" s="136"/>
      <c r="E64" s="8"/>
      <c r="F64" s="1"/>
      <c r="G64" s="1" t="s">
        <v>284</v>
      </c>
      <c r="H64">
        <v>0.54624590732240197</v>
      </c>
      <c r="I64">
        <f>H64*$G$7^$G$11</f>
        <v>1.2097404123452573</v>
      </c>
      <c r="K64" s="1" t="s">
        <v>284</v>
      </c>
      <c r="L64">
        <f>M61</f>
        <v>0</v>
      </c>
    </row>
    <row r="65" spans="1:12" x14ac:dyDescent="0.15">
      <c r="A65" s="58"/>
      <c r="B65" t="s">
        <v>84</v>
      </c>
      <c r="C65" s="240">
        <v>20.060000000000002</v>
      </c>
      <c r="D65" s="136"/>
      <c r="E65" s="8"/>
      <c r="F65" s="1"/>
      <c r="G65" t="s">
        <v>285</v>
      </c>
      <c r="H65">
        <v>1.4817589441367645</v>
      </c>
      <c r="I65">
        <f>H65*$G$10^$G$11</f>
        <v>2.8401728679996396</v>
      </c>
      <c r="K65" t="s">
        <v>285</v>
      </c>
      <c r="L65">
        <f>M54</f>
        <v>0</v>
      </c>
    </row>
    <row r="66" spans="1:12" x14ac:dyDescent="0.15">
      <c r="A66" s="58"/>
      <c r="B66" t="s">
        <v>85</v>
      </c>
      <c r="C66" s="240">
        <v>16.23</v>
      </c>
      <c r="D66" s="136"/>
      <c r="E66" s="8"/>
      <c r="F66" s="1"/>
      <c r="G66" t="s">
        <v>286</v>
      </c>
      <c r="H66">
        <v>0.21920076984307021</v>
      </c>
      <c r="I66">
        <f>H66*$G$8^$G$11</f>
        <v>0.34943984627877234</v>
      </c>
      <c r="K66" t="s">
        <v>286</v>
      </c>
      <c r="L66">
        <f>M55</f>
        <v>0</v>
      </c>
    </row>
    <row r="67" spans="1:12" x14ac:dyDescent="0.15">
      <c r="A67" s="58"/>
      <c r="B67" t="s">
        <v>86</v>
      </c>
      <c r="C67" s="240">
        <v>133.97800000000001</v>
      </c>
      <c r="D67" s="136"/>
      <c r="E67" s="8"/>
      <c r="F67" s="1"/>
      <c r="G67" t="s">
        <v>287</v>
      </c>
      <c r="H67">
        <v>7.4340904559366872E-2</v>
      </c>
      <c r="I67">
        <f>H67*$G$9^$G$11</f>
        <v>0.14817990730637928</v>
      </c>
      <c r="K67" t="s">
        <v>287</v>
      </c>
      <c r="L67">
        <f>M44</f>
        <v>0</v>
      </c>
    </row>
    <row r="68" spans="1:12" x14ac:dyDescent="0.15">
      <c r="A68" s="58"/>
      <c r="B68" t="s">
        <v>303</v>
      </c>
      <c r="C68" s="240">
        <v>43.591000000000001</v>
      </c>
      <c r="D68" s="136"/>
      <c r="E68" s="8"/>
      <c r="F68" s="1"/>
      <c r="G68" t="s">
        <v>288</v>
      </c>
      <c r="H68">
        <v>0.43259520302145932</v>
      </c>
      <c r="I68">
        <f>H68*$G$9^$G$11</f>
        <v>0.86226980240351947</v>
      </c>
      <c r="K68" t="s">
        <v>288</v>
      </c>
      <c r="L68">
        <f>M49</f>
        <v>0</v>
      </c>
    </row>
    <row r="69" spans="1:12" x14ac:dyDescent="0.15">
      <c r="A69" s="58"/>
      <c r="B69" t="s">
        <v>88</v>
      </c>
      <c r="C69" s="240">
        <v>0.92</v>
      </c>
      <c r="D69" s="136"/>
      <c r="E69" s="8"/>
      <c r="F69" s="1"/>
      <c r="G69" t="s">
        <v>289</v>
      </c>
      <c r="H69">
        <v>0.68937287682354853</v>
      </c>
      <c r="I69">
        <f>H69*$G$10^$G$11</f>
        <v>1.3213607708841912</v>
      </c>
      <c r="K69" t="s">
        <v>289</v>
      </c>
      <c r="L69">
        <f>M57</f>
        <v>0</v>
      </c>
    </row>
    <row r="70" spans="1:12" x14ac:dyDescent="0.15">
      <c r="A70" s="58"/>
      <c r="B70" t="s">
        <v>89</v>
      </c>
      <c r="C70" s="240">
        <v>7.2080000000000002</v>
      </c>
      <c r="D70" s="136"/>
      <c r="E70" s="8"/>
      <c r="F70" s="1"/>
      <c r="G70" t="s">
        <v>306</v>
      </c>
      <c r="H70">
        <v>0.12540940817377882</v>
      </c>
      <c r="I70">
        <f>H70*$G$9^$G$11</f>
        <v>0.24997213295539561</v>
      </c>
      <c r="K70" t="s">
        <v>306</v>
      </c>
      <c r="L70">
        <f>M53</f>
        <v>0</v>
      </c>
    </row>
    <row r="71" spans="1:12" x14ac:dyDescent="0.15">
      <c r="A71" s="58"/>
      <c r="B71" t="s">
        <v>90</v>
      </c>
      <c r="C71" s="240">
        <v>5.75</v>
      </c>
      <c r="D71" s="136"/>
      <c r="E71" s="8"/>
      <c r="F71" s="1"/>
      <c r="G71" t="s">
        <v>290</v>
      </c>
      <c r="H71">
        <v>0.10332147719255659</v>
      </c>
      <c r="I71">
        <f>H71*$G$10^$G$11</f>
        <v>0.19804223714330263</v>
      </c>
      <c r="K71" t="s">
        <v>290</v>
      </c>
      <c r="L71">
        <f>M56</f>
        <v>0</v>
      </c>
    </row>
    <row r="72" spans="1:12" x14ac:dyDescent="0.15">
      <c r="A72" s="58"/>
      <c r="B72" t="s">
        <v>91</v>
      </c>
      <c r="C72" s="240">
        <v>1.5</v>
      </c>
      <c r="D72" s="136"/>
      <c r="E72" s="8"/>
      <c r="F72" s="1"/>
      <c r="G72" t="s">
        <v>291</v>
      </c>
      <c r="H72">
        <v>0.10367600690087928</v>
      </c>
      <c r="I72">
        <f>H72*$G$9^$G$11</f>
        <v>0.2066520603095372</v>
      </c>
      <c r="K72" t="s">
        <v>291</v>
      </c>
      <c r="L72">
        <f>M45</f>
        <v>0</v>
      </c>
    </row>
    <row r="73" spans="1:12" x14ac:dyDescent="0.15">
      <c r="A73" s="58"/>
      <c r="B73" t="s">
        <v>92</v>
      </c>
      <c r="C73" s="240">
        <v>7.5</v>
      </c>
      <c r="D73" s="136"/>
      <c r="E73" s="8"/>
      <c r="F73" s="1"/>
      <c r="G73" t="s">
        <v>293</v>
      </c>
      <c r="H73">
        <v>1.8696777249439828E-2</v>
      </c>
      <c r="I73">
        <f>H73*$G$10^$G$11</f>
        <v>3.5837191786838085E-2</v>
      </c>
      <c r="K73" t="s">
        <v>293</v>
      </c>
      <c r="L73">
        <f>M50</f>
        <v>0</v>
      </c>
    </row>
    <row r="74" spans="1:12" x14ac:dyDescent="0.15">
      <c r="A74" s="58"/>
      <c r="B74" t="s">
        <v>93</v>
      </c>
      <c r="C74" s="240">
        <v>6.6499999999999995</v>
      </c>
      <c r="D74" s="136"/>
      <c r="E74" s="8"/>
      <c r="F74" s="1"/>
      <c r="G74" t="s">
        <v>292</v>
      </c>
      <c r="H74">
        <v>3.1056640192910094E-2</v>
      </c>
      <c r="I74">
        <f>H74*$G$10^$G$11</f>
        <v>5.9528054273711224E-2</v>
      </c>
      <c r="K74" t="s">
        <v>292</v>
      </c>
      <c r="L74">
        <f>M46</f>
        <v>0</v>
      </c>
    </row>
    <row r="75" spans="1:12" x14ac:dyDescent="0.15">
      <c r="A75" s="58"/>
      <c r="B75" t="s">
        <v>272</v>
      </c>
      <c r="C75" s="240">
        <v>13.799999999999999</v>
      </c>
      <c r="D75" s="136"/>
      <c r="E75" s="8"/>
      <c r="F75" s="1"/>
      <c r="G75" t="s">
        <v>294</v>
      </c>
      <c r="H75">
        <v>4.5107212317489126E-2</v>
      </c>
      <c r="I75">
        <f>H75*$G$10^$G$11</f>
        <v>8.6459596604538641E-2</v>
      </c>
      <c r="K75" t="s">
        <v>294</v>
      </c>
      <c r="L75">
        <f>M43</f>
        <v>0</v>
      </c>
    </row>
    <row r="76" spans="1:12" x14ac:dyDescent="0.15">
      <c r="A76" s="58"/>
      <c r="B76" t="s">
        <v>273</v>
      </c>
      <c r="C76" s="240">
        <v>54.625</v>
      </c>
      <c r="D76" s="136"/>
      <c r="E76" s="8"/>
      <c r="F76" s="1"/>
      <c r="G76" t="s">
        <v>295</v>
      </c>
      <c r="H76">
        <v>1.2910722604685647E-2</v>
      </c>
      <c r="I76">
        <f>H76*$G$9^$G$11</f>
        <v>2.5734280342162519E-2</v>
      </c>
      <c r="K76" t="s">
        <v>295</v>
      </c>
      <c r="L76">
        <f>M47</f>
        <v>0</v>
      </c>
    </row>
    <row r="77" spans="1:12" x14ac:dyDescent="0.15">
      <c r="A77" s="58"/>
      <c r="B77" t="s">
        <v>274</v>
      </c>
      <c r="C77" s="240">
        <v>10.177</v>
      </c>
      <c r="D77" s="136"/>
      <c r="E77" s="8"/>
      <c r="F77" s="1"/>
      <c r="G77" t="s">
        <v>296</v>
      </c>
      <c r="H77">
        <v>3.7213450161928526E-3</v>
      </c>
      <c r="I77">
        <f>H77*$G$10^$G$11</f>
        <v>7.1329167198744383E-3</v>
      </c>
      <c r="K77" t="s">
        <v>296</v>
      </c>
      <c r="L77">
        <f>M58</f>
        <v>0</v>
      </c>
    </row>
    <row r="78" spans="1:12" x14ac:dyDescent="0.15">
      <c r="A78" s="58"/>
      <c r="B78" t="s">
        <v>275</v>
      </c>
      <c r="C78" s="240">
        <v>29.614999999999998</v>
      </c>
      <c r="D78" s="136"/>
      <c r="E78" s="8"/>
      <c r="F78" s="1"/>
      <c r="G78" t="s">
        <v>297</v>
      </c>
      <c r="H78">
        <v>0.79476312004865191</v>
      </c>
      <c r="I78">
        <f>H78*$G$10^$G$11</f>
        <v>1.5233683312530619</v>
      </c>
      <c r="K78" t="s">
        <v>297</v>
      </c>
      <c r="L78">
        <f>M59</f>
        <v>0</v>
      </c>
    </row>
    <row r="79" spans="1:12" x14ac:dyDescent="0.15">
      <c r="A79" s="58"/>
      <c r="B79" s="1" t="s">
        <v>309</v>
      </c>
      <c r="C79" s="240">
        <v>16.315999999999999</v>
      </c>
      <c r="D79" s="136"/>
      <c r="E79" s="8"/>
      <c r="F79" s="1"/>
      <c r="G79" t="s">
        <v>298</v>
      </c>
      <c r="H79">
        <v>0.10729594181743748</v>
      </c>
      <c r="I79">
        <f>H79*$G$9^$G$11</f>
        <v>0.21386749067818928</v>
      </c>
      <c r="K79" t="s">
        <v>298</v>
      </c>
      <c r="L79">
        <f>M52</f>
        <v>0</v>
      </c>
    </row>
    <row r="80" spans="1:12" x14ac:dyDescent="0.15">
      <c r="A80" s="58"/>
      <c r="B80" s="1" t="s">
        <v>283</v>
      </c>
      <c r="C80" s="88">
        <f>MAX(0,C42-(C61-C23))</f>
        <v>10.762000000000015</v>
      </c>
      <c r="D80" s="136"/>
      <c r="E80" s="8"/>
      <c r="F80" s="1"/>
      <c r="G80" t="s">
        <v>299</v>
      </c>
      <c r="H80">
        <v>8.0113167430570759E-2</v>
      </c>
      <c r="I80">
        <f>H80*$G$10^$G$11</f>
        <v>0.15355753066729474</v>
      </c>
      <c r="K80" t="s">
        <v>299</v>
      </c>
      <c r="L80">
        <f>M48</f>
        <v>0</v>
      </c>
    </row>
    <row r="81" spans="1:12" x14ac:dyDescent="0.15">
      <c r="A81" s="58"/>
      <c r="B81" s="1" t="s">
        <v>284</v>
      </c>
      <c r="C81" s="88">
        <f>MAX(0,C43-(C62-C24))</f>
        <v>654.16300000000012</v>
      </c>
      <c r="D81" s="136"/>
      <c r="E81" s="8"/>
      <c r="F81" s="1"/>
      <c r="G81" s="16" t="s">
        <v>311</v>
      </c>
      <c r="H81" s="16">
        <v>0.25916932959187278</v>
      </c>
      <c r="I81">
        <f>H81*$G$10^$G$11</f>
        <v>0.49676480849813143</v>
      </c>
      <c r="K81" s="16" t="s">
        <v>311</v>
      </c>
      <c r="L81" s="16">
        <f>M60</f>
        <v>0</v>
      </c>
    </row>
    <row r="82" spans="1:12" x14ac:dyDescent="0.15">
      <c r="A82" s="58"/>
      <c r="B82" t="s">
        <v>285</v>
      </c>
      <c r="C82" s="88">
        <f t="shared" ref="C82:C98" si="0">MAX(0,C44-(C63-C25))</f>
        <v>1816.1579999999999</v>
      </c>
      <c r="D82" s="136"/>
      <c r="E82" s="8"/>
      <c r="F82" s="1"/>
      <c r="G82" s="37"/>
      <c r="H82" s="37"/>
      <c r="I82" s="37"/>
      <c r="L82" s="37"/>
    </row>
    <row r="83" spans="1:12" x14ac:dyDescent="0.15">
      <c r="A83" s="58"/>
      <c r="B83" t="s">
        <v>286</v>
      </c>
      <c r="C83" s="88">
        <f t="shared" si="0"/>
        <v>258.59100000000001</v>
      </c>
      <c r="D83" s="136"/>
      <c r="E83" s="8"/>
      <c r="F83" s="1"/>
      <c r="G83" s="37"/>
      <c r="H83" s="37"/>
      <c r="I83" s="37"/>
      <c r="L83" s="37"/>
    </row>
    <row r="84" spans="1:12" x14ac:dyDescent="0.15">
      <c r="A84" s="58"/>
      <c r="B84" t="s">
        <v>287</v>
      </c>
      <c r="C84" s="88">
        <f t="shared" si="0"/>
        <v>85.773999999999987</v>
      </c>
      <c r="D84" s="136"/>
      <c r="E84" s="8"/>
      <c r="F84" s="1"/>
      <c r="G84" s="37"/>
      <c r="H84" s="37"/>
      <c r="I84" s="37"/>
      <c r="L84" s="37"/>
    </row>
    <row r="85" spans="1:12" x14ac:dyDescent="0.15">
      <c r="A85" s="58"/>
      <c r="B85" t="s">
        <v>288</v>
      </c>
      <c r="C85" s="88">
        <f t="shared" si="0"/>
        <v>527.09499999999991</v>
      </c>
      <c r="D85" s="136"/>
      <c r="E85" s="8"/>
      <c r="F85" s="1"/>
      <c r="G85" s="37"/>
      <c r="H85" s="37"/>
      <c r="I85" s="37"/>
      <c r="L85" s="37"/>
    </row>
    <row r="86" spans="1:12" x14ac:dyDescent="0.15">
      <c r="A86" s="58"/>
      <c r="B86" t="s">
        <v>289</v>
      </c>
      <c r="C86" s="88">
        <f t="shared" si="0"/>
        <v>743.94200000000001</v>
      </c>
      <c r="D86" s="136"/>
      <c r="E86" s="8"/>
      <c r="F86" s="1"/>
      <c r="G86" s="37"/>
      <c r="H86" s="37"/>
      <c r="I86" s="37"/>
      <c r="L86" s="37"/>
    </row>
    <row r="87" spans="1:12" x14ac:dyDescent="0.15">
      <c r="A87" s="58"/>
      <c r="B87" t="s">
        <v>306</v>
      </c>
      <c r="C87" s="88">
        <f t="shared" si="0"/>
        <v>146.97199999999998</v>
      </c>
      <c r="D87" s="136"/>
      <c r="E87" s="8"/>
      <c r="F87" s="1"/>
      <c r="G87" s="37"/>
      <c r="H87" s="37"/>
      <c r="I87" s="37"/>
      <c r="L87" s="37"/>
    </row>
    <row r="88" spans="1:12" x14ac:dyDescent="0.15">
      <c r="A88" s="58"/>
      <c r="B88" t="s">
        <v>290</v>
      </c>
      <c r="C88" s="88">
        <f t="shared" si="0"/>
        <v>127.056</v>
      </c>
      <c r="D88" s="136"/>
      <c r="E88" s="8"/>
      <c r="F88" s="1"/>
      <c r="G88" s="37"/>
      <c r="H88" s="37"/>
      <c r="I88" s="37"/>
      <c r="L88" s="37"/>
    </row>
    <row r="89" spans="1:12" x14ac:dyDescent="0.15">
      <c r="A89" s="58"/>
      <c r="B89" t="s">
        <v>291</v>
      </c>
      <c r="C89" s="88">
        <f t="shared" si="0"/>
        <v>120.785</v>
      </c>
      <c r="D89" s="136"/>
      <c r="E89" s="8"/>
      <c r="F89" s="1"/>
      <c r="G89" s="37"/>
      <c r="H89" s="37"/>
      <c r="I89" s="37"/>
      <c r="L89" s="37"/>
    </row>
    <row r="90" spans="1:12" x14ac:dyDescent="0.15">
      <c r="A90" s="58"/>
      <c r="B90" t="s">
        <v>293</v>
      </c>
      <c r="C90" s="88">
        <f t="shared" si="0"/>
        <v>18.045999999999999</v>
      </c>
      <c r="D90" s="136"/>
      <c r="E90" s="8"/>
      <c r="F90" s="1"/>
      <c r="G90" s="37"/>
      <c r="H90" s="37"/>
      <c r="I90" s="37"/>
      <c r="L90" s="37"/>
    </row>
    <row r="91" spans="1:12" x14ac:dyDescent="0.15">
      <c r="A91" s="58"/>
      <c r="B91" t="s">
        <v>292</v>
      </c>
      <c r="C91" s="88">
        <f t="shared" si="0"/>
        <v>37.781000000000006</v>
      </c>
      <c r="D91" s="136"/>
      <c r="E91" s="8"/>
      <c r="F91" s="1"/>
      <c r="G91" s="37"/>
      <c r="H91" s="37"/>
      <c r="I91" s="37"/>
      <c r="L91" s="37"/>
    </row>
    <row r="92" spans="1:12" x14ac:dyDescent="0.15">
      <c r="A92" s="58"/>
      <c r="B92" t="s">
        <v>294</v>
      </c>
      <c r="C92" s="88">
        <f t="shared" si="0"/>
        <v>50.599999999999994</v>
      </c>
      <c r="D92" s="136"/>
      <c r="E92" s="8"/>
      <c r="F92" s="1"/>
      <c r="G92" s="37"/>
      <c r="H92" s="37"/>
      <c r="I92" s="37"/>
      <c r="L92" s="37"/>
    </row>
    <row r="93" spans="1:12" x14ac:dyDescent="0.15">
      <c r="A93" s="58"/>
      <c r="B93" t="s">
        <v>295</v>
      </c>
      <c r="C93" s="88">
        <f t="shared" si="0"/>
        <v>9.6140000000000008</v>
      </c>
      <c r="D93" s="136"/>
      <c r="E93" s="8"/>
      <c r="F93" s="1"/>
      <c r="G93" s="37"/>
      <c r="H93" s="37"/>
      <c r="I93" s="37"/>
      <c r="L93" s="37"/>
    </row>
    <row r="94" spans="1:12" x14ac:dyDescent="0.15">
      <c r="A94" s="58"/>
      <c r="B94" t="s">
        <v>296</v>
      </c>
      <c r="C94" s="88">
        <f t="shared" si="0"/>
        <v>0</v>
      </c>
      <c r="D94" s="136"/>
      <c r="E94" s="8"/>
      <c r="F94" s="1"/>
      <c r="G94" s="37"/>
      <c r="H94" s="37"/>
      <c r="I94" s="37"/>
      <c r="L94" s="37"/>
    </row>
    <row r="95" spans="1:12" x14ac:dyDescent="0.15">
      <c r="A95" s="58"/>
      <c r="B95" t="s">
        <v>297</v>
      </c>
      <c r="C95" s="88">
        <f t="shared" si="0"/>
        <v>942.01499999999999</v>
      </c>
      <c r="D95" s="136"/>
      <c r="E95" s="8"/>
      <c r="F95" s="1"/>
      <c r="G95" s="37"/>
      <c r="H95" s="37"/>
      <c r="I95" s="37"/>
      <c r="L95" s="37"/>
    </row>
    <row r="96" spans="1:12" x14ac:dyDescent="0.15">
      <c r="A96" s="58"/>
      <c r="B96" t="s">
        <v>298</v>
      </c>
      <c r="C96" s="88">
        <f t="shared" si="0"/>
        <v>126.25500000000002</v>
      </c>
      <c r="D96" s="136"/>
      <c r="E96" s="8"/>
      <c r="F96" s="1"/>
      <c r="G96" s="37"/>
      <c r="H96" s="37"/>
      <c r="I96" s="37"/>
      <c r="L96" s="37"/>
    </row>
    <row r="97" spans="1:12" x14ac:dyDescent="0.15">
      <c r="A97" s="122"/>
      <c r="B97" t="s">
        <v>299</v>
      </c>
      <c r="C97" s="88">
        <f t="shared" si="0"/>
        <v>91.226000000000013</v>
      </c>
      <c r="D97" s="136"/>
      <c r="E97" s="8"/>
      <c r="F97" s="1"/>
      <c r="G97" s="37"/>
      <c r="H97" s="37"/>
      <c r="I97" s="37"/>
      <c r="L97" s="37"/>
    </row>
    <row r="98" spans="1:12" x14ac:dyDescent="0.15">
      <c r="A98" s="120"/>
      <c r="B98" s="16" t="s">
        <v>311</v>
      </c>
      <c r="C98" s="116">
        <f t="shared" si="0"/>
        <v>315.79399999999998</v>
      </c>
      <c r="D98" s="136"/>
      <c r="E98" s="8"/>
      <c r="F98" s="1"/>
      <c r="G98" s="126"/>
      <c r="H98" s="8"/>
      <c r="I98" s="37"/>
      <c r="L98" s="37"/>
    </row>
    <row r="99" spans="1:12" x14ac:dyDescent="0.15">
      <c r="A99" s="122" t="s">
        <v>327</v>
      </c>
      <c r="B99" s="1" t="s">
        <v>82</v>
      </c>
      <c r="C99" s="241">
        <v>84.052999999999997</v>
      </c>
      <c r="D99" s="136"/>
      <c r="E99" s="8"/>
      <c r="F99" s="1"/>
      <c r="G99" s="126"/>
      <c r="H99" s="8"/>
      <c r="I99" s="37"/>
      <c r="L99" s="37"/>
    </row>
    <row r="100" spans="1:12" x14ac:dyDescent="0.15">
      <c r="A100" s="122"/>
      <c r="B100" s="1" t="s">
        <v>83</v>
      </c>
      <c r="C100" s="241">
        <v>19.564</v>
      </c>
      <c r="D100" s="136"/>
      <c r="E100" s="8"/>
      <c r="F100" s="1"/>
      <c r="G100" s="126"/>
      <c r="H100" s="8"/>
      <c r="I100" s="37"/>
      <c r="L100" s="37"/>
    </row>
    <row r="101" spans="1:12" x14ac:dyDescent="0.15">
      <c r="A101" s="122"/>
      <c r="B101" s="1" t="s">
        <v>132</v>
      </c>
      <c r="C101" s="241">
        <v>24.101999999999997</v>
      </c>
      <c r="D101" s="136"/>
      <c r="E101" s="8"/>
      <c r="F101" s="1"/>
      <c r="G101" s="126"/>
      <c r="H101" s="8"/>
      <c r="I101" s="37"/>
      <c r="L101" s="37"/>
    </row>
    <row r="102" spans="1:12" x14ac:dyDescent="0.15">
      <c r="A102" s="122"/>
      <c r="B102" s="1" t="s">
        <v>131</v>
      </c>
      <c r="C102" s="241">
        <v>23.2</v>
      </c>
      <c r="D102" s="136"/>
      <c r="E102" s="8"/>
      <c r="F102" s="1"/>
      <c r="G102" s="126"/>
      <c r="H102" s="8"/>
      <c r="I102" s="37"/>
      <c r="L102" s="37"/>
    </row>
    <row r="103" spans="1:12" x14ac:dyDescent="0.15">
      <c r="A103" s="122"/>
      <c r="B103" s="1" t="s">
        <v>84</v>
      </c>
      <c r="C103" s="241">
        <v>20.060000000000002</v>
      </c>
      <c r="D103" s="136"/>
      <c r="E103" s="8"/>
      <c r="F103" s="1"/>
      <c r="G103" s="126"/>
      <c r="H103" s="8"/>
      <c r="I103" s="37"/>
      <c r="L103" s="37"/>
    </row>
    <row r="104" spans="1:12" x14ac:dyDescent="0.15">
      <c r="A104" s="122"/>
      <c r="B104" s="1" t="s">
        <v>85</v>
      </c>
      <c r="C104" s="241">
        <v>16.23</v>
      </c>
      <c r="D104" s="136"/>
      <c r="E104" s="8"/>
      <c r="F104" s="1"/>
      <c r="G104" s="126"/>
      <c r="H104" s="8"/>
      <c r="I104" s="37"/>
      <c r="L104" s="37"/>
    </row>
    <row r="105" spans="1:12" x14ac:dyDescent="0.15">
      <c r="A105" s="122"/>
      <c r="B105" s="1" t="s">
        <v>86</v>
      </c>
      <c r="C105" s="241">
        <v>133.97800000000001</v>
      </c>
      <c r="D105" s="136"/>
      <c r="E105" s="8"/>
      <c r="F105" s="1"/>
      <c r="G105" s="126"/>
      <c r="H105" s="8"/>
      <c r="I105" s="37"/>
      <c r="L105" s="37"/>
    </row>
    <row r="106" spans="1:12" x14ac:dyDescent="0.15">
      <c r="A106" s="122"/>
      <c r="B106" s="1" t="s">
        <v>303</v>
      </c>
      <c r="C106" s="241">
        <v>43.591000000000001</v>
      </c>
      <c r="D106" s="136"/>
      <c r="E106" s="8"/>
      <c r="F106" s="1"/>
      <c r="G106" s="126"/>
      <c r="H106" s="8"/>
      <c r="I106" s="37"/>
      <c r="L106" s="37"/>
    </row>
    <row r="107" spans="1:12" x14ac:dyDescent="0.15">
      <c r="A107" s="122"/>
      <c r="B107" s="1" t="s">
        <v>88</v>
      </c>
      <c r="C107" s="241">
        <v>0.92</v>
      </c>
      <c r="D107" s="136"/>
      <c r="E107" s="8"/>
      <c r="F107" s="1"/>
      <c r="G107" s="126"/>
      <c r="H107" s="8"/>
      <c r="I107" s="37"/>
      <c r="L107" s="37"/>
    </row>
    <row r="108" spans="1:12" x14ac:dyDescent="0.15">
      <c r="A108" s="122"/>
      <c r="B108" s="1" t="s">
        <v>89</v>
      </c>
      <c r="C108" s="241">
        <v>7.2080000000000002</v>
      </c>
      <c r="D108" s="136"/>
      <c r="E108" s="8"/>
      <c r="F108" s="1"/>
      <c r="G108" s="126"/>
      <c r="H108" s="8"/>
      <c r="I108" s="37"/>
      <c r="L108" s="37"/>
    </row>
    <row r="109" spans="1:12" x14ac:dyDescent="0.15">
      <c r="A109" s="122"/>
      <c r="B109" s="1" t="s">
        <v>90</v>
      </c>
      <c r="C109" s="241">
        <v>5.75</v>
      </c>
      <c r="D109" s="136"/>
      <c r="E109" s="8"/>
      <c r="F109" s="1"/>
      <c r="G109" s="126"/>
      <c r="H109" s="8"/>
      <c r="I109" s="37"/>
      <c r="L109" s="37"/>
    </row>
    <row r="110" spans="1:12" x14ac:dyDescent="0.15">
      <c r="A110" s="122"/>
      <c r="B110" s="1" t="s">
        <v>91</v>
      </c>
      <c r="C110" s="241">
        <v>1.5</v>
      </c>
      <c r="D110" s="136"/>
      <c r="E110" s="8"/>
      <c r="F110" s="1"/>
      <c r="G110" s="126"/>
      <c r="H110" s="8"/>
      <c r="I110" s="37"/>
      <c r="L110" s="37"/>
    </row>
    <row r="111" spans="1:12" x14ac:dyDescent="0.15">
      <c r="A111" s="122"/>
      <c r="B111" s="1" t="s">
        <v>92</v>
      </c>
      <c r="C111" s="241">
        <v>7.5</v>
      </c>
      <c r="D111" s="136"/>
      <c r="E111" s="8"/>
      <c r="F111" s="1"/>
      <c r="G111" s="126"/>
      <c r="H111" s="8"/>
      <c r="I111" s="37"/>
      <c r="L111" s="37"/>
    </row>
    <row r="112" spans="1:12" x14ac:dyDescent="0.15">
      <c r="A112" s="122"/>
      <c r="B112" s="1" t="s">
        <v>93</v>
      </c>
      <c r="C112" s="241">
        <v>6.6499999999999995</v>
      </c>
      <c r="D112" s="136"/>
      <c r="E112" s="8"/>
      <c r="F112" s="1"/>
      <c r="G112" s="126"/>
      <c r="H112" s="8"/>
      <c r="I112" s="37"/>
      <c r="L112" s="37"/>
    </row>
    <row r="113" spans="1:12" x14ac:dyDescent="0.15">
      <c r="A113" s="122"/>
      <c r="B113" s="1" t="s">
        <v>272</v>
      </c>
      <c r="C113" s="241">
        <v>13.799999999999999</v>
      </c>
      <c r="D113" s="136"/>
      <c r="E113" s="8"/>
      <c r="F113" s="1"/>
      <c r="G113" s="126"/>
      <c r="H113" s="8"/>
      <c r="I113" s="37"/>
      <c r="L113" s="37"/>
    </row>
    <row r="114" spans="1:12" x14ac:dyDescent="0.15">
      <c r="A114" s="122"/>
      <c r="B114" s="1" t="s">
        <v>273</v>
      </c>
      <c r="C114" s="241">
        <v>54.625</v>
      </c>
      <c r="D114" s="136"/>
      <c r="E114" s="8"/>
      <c r="F114" s="1"/>
      <c r="G114" s="126"/>
      <c r="H114" s="8"/>
      <c r="I114" s="37"/>
      <c r="L114" s="37"/>
    </row>
    <row r="115" spans="1:12" x14ac:dyDescent="0.15">
      <c r="A115" s="122"/>
      <c r="B115" s="1" t="s">
        <v>274</v>
      </c>
      <c r="C115" s="241">
        <v>10.177</v>
      </c>
      <c r="D115" s="136"/>
      <c r="E115" s="8"/>
      <c r="F115" s="1"/>
      <c r="G115" s="126"/>
      <c r="H115" s="8"/>
      <c r="I115" s="37"/>
      <c r="L115" s="37"/>
    </row>
    <row r="116" spans="1:12" x14ac:dyDescent="0.15">
      <c r="A116" s="122"/>
      <c r="B116" s="1" t="s">
        <v>275</v>
      </c>
      <c r="C116" s="241">
        <v>29.614999999999998</v>
      </c>
      <c r="D116" s="136"/>
      <c r="E116" s="8"/>
      <c r="F116" s="1"/>
      <c r="G116" s="126"/>
      <c r="H116" s="8"/>
      <c r="I116" s="37"/>
      <c r="L116" s="37"/>
    </row>
    <row r="117" spans="1:12" x14ac:dyDescent="0.15">
      <c r="A117" s="122"/>
      <c r="B117" s="1" t="s">
        <v>309</v>
      </c>
      <c r="C117" s="241">
        <v>16.315999999999999</v>
      </c>
      <c r="D117" s="136"/>
      <c r="E117" s="8"/>
      <c r="F117" s="1"/>
      <c r="G117" s="126"/>
      <c r="H117" s="8"/>
      <c r="I117" s="37"/>
      <c r="L117" s="37"/>
    </row>
    <row r="118" spans="1:12" x14ac:dyDescent="0.15">
      <c r="A118" s="122"/>
      <c r="B118" s="1" t="s">
        <v>283</v>
      </c>
      <c r="C118" s="136">
        <f>C42</f>
        <v>87.817000000000007</v>
      </c>
      <c r="D118" s="136"/>
      <c r="E118" s="8"/>
      <c r="F118" s="1"/>
      <c r="G118" s="126"/>
      <c r="H118" s="8"/>
      <c r="I118" s="37"/>
      <c r="L118" s="37"/>
    </row>
    <row r="119" spans="1:12" x14ac:dyDescent="0.15">
      <c r="A119" s="122"/>
      <c r="B119" s="1" t="s">
        <v>284</v>
      </c>
      <c r="C119" s="136">
        <f t="shared" ref="C119:C136" si="1">C43</f>
        <v>673.3130000000001</v>
      </c>
      <c r="D119" s="136"/>
      <c r="E119" s="8"/>
      <c r="F119" s="1"/>
      <c r="G119" s="126"/>
      <c r="H119" s="8"/>
      <c r="I119" s="37"/>
      <c r="L119" s="37"/>
    </row>
    <row r="120" spans="1:12" x14ac:dyDescent="0.15">
      <c r="A120" s="122"/>
      <c r="B120" s="1" t="s">
        <v>285</v>
      </c>
      <c r="C120" s="136">
        <f t="shared" si="1"/>
        <v>1826.444</v>
      </c>
      <c r="D120" s="136"/>
      <c r="E120" s="8"/>
      <c r="F120" s="1"/>
      <c r="G120" s="126"/>
      <c r="H120" s="8"/>
      <c r="I120" s="37"/>
      <c r="L120" s="37"/>
    </row>
    <row r="121" spans="1:12" x14ac:dyDescent="0.15">
      <c r="A121" s="122"/>
      <c r="B121" s="1" t="s">
        <v>286</v>
      </c>
      <c r="C121" s="136">
        <f t="shared" si="1"/>
        <v>270.19100000000003</v>
      </c>
      <c r="D121" s="136"/>
      <c r="E121" s="8"/>
      <c r="F121" s="1"/>
      <c r="G121" s="126"/>
      <c r="H121" s="8"/>
      <c r="I121" s="37"/>
      <c r="L121" s="37"/>
    </row>
    <row r="122" spans="1:12" x14ac:dyDescent="0.15">
      <c r="A122" s="122"/>
      <c r="B122" s="1" t="s">
        <v>287</v>
      </c>
      <c r="C122" s="136">
        <f t="shared" si="1"/>
        <v>91.633999999999986</v>
      </c>
      <c r="D122" s="136"/>
      <c r="E122" s="8"/>
      <c r="F122" s="1"/>
      <c r="G122" s="126"/>
      <c r="H122" s="8"/>
      <c r="I122" s="37"/>
      <c r="L122" s="37"/>
    </row>
    <row r="123" spans="1:12" x14ac:dyDescent="0.15">
      <c r="A123" s="122"/>
      <c r="B123" s="1" t="s">
        <v>288</v>
      </c>
      <c r="C123" s="136">
        <f t="shared" si="1"/>
        <v>533.22499999999991</v>
      </c>
      <c r="D123" s="136"/>
      <c r="E123" s="8"/>
      <c r="F123" s="1"/>
      <c r="G123" s="126"/>
      <c r="H123" s="8"/>
      <c r="I123" s="37"/>
      <c r="L123" s="37"/>
    </row>
    <row r="124" spans="1:12" x14ac:dyDescent="0.15">
      <c r="A124" s="122"/>
      <c r="B124" s="1" t="s">
        <v>289</v>
      </c>
      <c r="C124" s="136">
        <f t="shared" si="1"/>
        <v>849.73400000000004</v>
      </c>
      <c r="D124" s="136"/>
      <c r="E124" s="8"/>
      <c r="F124" s="1"/>
      <c r="G124" s="126"/>
      <c r="H124" s="8"/>
      <c r="I124" s="37"/>
      <c r="L124" s="37"/>
    </row>
    <row r="125" spans="1:12" x14ac:dyDescent="0.15">
      <c r="A125" s="122"/>
      <c r="B125" s="1" t="s">
        <v>306</v>
      </c>
      <c r="C125" s="136">
        <f t="shared" si="1"/>
        <v>154.58199999999999</v>
      </c>
      <c r="D125" s="136"/>
      <c r="E125" s="8"/>
      <c r="F125" s="1"/>
      <c r="G125" s="126"/>
      <c r="H125" s="8"/>
      <c r="I125" s="37"/>
      <c r="L125" s="37"/>
    </row>
    <row r="126" spans="1:12" x14ac:dyDescent="0.15">
      <c r="A126" s="122"/>
      <c r="B126" s="1" t="s">
        <v>290</v>
      </c>
      <c r="C126" s="136">
        <f t="shared" si="1"/>
        <v>127.35599999999999</v>
      </c>
      <c r="D126" s="136"/>
      <c r="E126" s="8"/>
      <c r="F126" s="1"/>
      <c r="G126" s="126"/>
      <c r="H126" s="8"/>
      <c r="I126" s="37"/>
      <c r="L126" s="37"/>
    </row>
    <row r="127" spans="1:12" x14ac:dyDescent="0.15">
      <c r="A127" s="122"/>
      <c r="B127" s="1" t="s">
        <v>291</v>
      </c>
      <c r="C127" s="136">
        <f t="shared" si="1"/>
        <v>127.79299999999999</v>
      </c>
      <c r="D127" s="136"/>
      <c r="E127" s="8"/>
      <c r="F127" s="1"/>
      <c r="G127" s="126"/>
      <c r="H127" s="8"/>
      <c r="I127" s="37"/>
      <c r="L127" s="37"/>
    </row>
    <row r="128" spans="1:12" x14ac:dyDescent="0.15">
      <c r="A128" s="122"/>
      <c r="B128" s="1" t="s">
        <v>293</v>
      </c>
      <c r="C128" s="136">
        <f t="shared" si="1"/>
        <v>23.045999999999999</v>
      </c>
      <c r="D128" s="136"/>
      <c r="E128" s="8"/>
      <c r="F128" s="1"/>
      <c r="G128" s="126"/>
      <c r="H128" s="8"/>
      <c r="I128" s="37"/>
      <c r="L128" s="37"/>
    </row>
    <row r="129" spans="1:12" x14ac:dyDescent="0.15">
      <c r="A129" s="122"/>
      <c r="B129" s="1" t="s">
        <v>292</v>
      </c>
      <c r="C129" s="136">
        <f t="shared" si="1"/>
        <v>38.281000000000006</v>
      </c>
      <c r="D129" s="136"/>
      <c r="E129" s="8"/>
      <c r="F129" s="1"/>
      <c r="G129" s="126"/>
      <c r="H129" s="8"/>
      <c r="I129" s="37"/>
      <c r="L129" s="37"/>
    </row>
    <row r="130" spans="1:12" x14ac:dyDescent="0.15">
      <c r="A130" s="122"/>
      <c r="B130" s="1" t="s">
        <v>294</v>
      </c>
      <c r="C130" s="136">
        <f t="shared" si="1"/>
        <v>55.599999999999994</v>
      </c>
      <c r="D130" s="136"/>
      <c r="E130" s="8"/>
      <c r="F130" s="1"/>
      <c r="G130" s="126"/>
      <c r="H130" s="8"/>
      <c r="I130" s="37"/>
      <c r="L130" s="37"/>
    </row>
    <row r="131" spans="1:12" x14ac:dyDescent="0.15">
      <c r="A131" s="122"/>
      <c r="B131" s="1" t="s">
        <v>295</v>
      </c>
      <c r="C131" s="136">
        <f t="shared" si="1"/>
        <v>15.914000000000001</v>
      </c>
      <c r="D131" s="136"/>
      <c r="E131" s="8"/>
      <c r="F131" s="1"/>
      <c r="G131" s="126"/>
      <c r="H131" s="8"/>
      <c r="I131" s="37"/>
      <c r="L131" s="37"/>
    </row>
    <row r="132" spans="1:12" x14ac:dyDescent="0.15">
      <c r="A132" s="122"/>
      <c r="B132" s="1" t="s">
        <v>296</v>
      </c>
      <c r="C132" s="136">
        <f t="shared" si="1"/>
        <v>4.5869999999999997</v>
      </c>
      <c r="D132" s="136"/>
      <c r="E132" s="8"/>
      <c r="F132" s="1"/>
      <c r="G132" s="126"/>
      <c r="H132" s="8"/>
      <c r="I132" s="37"/>
      <c r="L132" s="37"/>
    </row>
    <row r="133" spans="1:12" x14ac:dyDescent="0.15">
      <c r="A133" s="122"/>
      <c r="B133" s="1" t="s">
        <v>297</v>
      </c>
      <c r="C133" s="136">
        <f t="shared" si="1"/>
        <v>979.64</v>
      </c>
      <c r="D133" s="136"/>
      <c r="E133" s="8"/>
      <c r="F133" s="1"/>
      <c r="G133" s="126"/>
      <c r="H133" s="8"/>
      <c r="I133" s="37"/>
      <c r="L133" s="37"/>
    </row>
    <row r="134" spans="1:12" x14ac:dyDescent="0.15">
      <c r="A134" s="122"/>
      <c r="B134" s="1" t="s">
        <v>298</v>
      </c>
      <c r="C134" s="136">
        <f t="shared" si="1"/>
        <v>132.25500000000002</v>
      </c>
      <c r="D134" s="136"/>
      <c r="E134" s="8"/>
      <c r="F134" s="1"/>
      <c r="G134" s="126"/>
      <c r="H134" s="8"/>
      <c r="I134" s="37"/>
      <c r="L134" s="37"/>
    </row>
    <row r="135" spans="1:12" x14ac:dyDescent="0.15">
      <c r="A135" s="122"/>
      <c r="B135" s="1" t="s">
        <v>299</v>
      </c>
      <c r="C135" s="136">
        <f t="shared" si="1"/>
        <v>98.749000000000009</v>
      </c>
      <c r="D135" s="136"/>
      <c r="E135" s="8"/>
      <c r="F135" s="1"/>
      <c r="G135" s="126"/>
      <c r="H135" s="8"/>
      <c r="I135" s="37"/>
      <c r="L135" s="37"/>
    </row>
    <row r="136" spans="1:12" x14ac:dyDescent="0.15">
      <c r="A136" s="120"/>
      <c r="B136" s="16" t="s">
        <v>311</v>
      </c>
      <c r="C136" s="116">
        <f t="shared" si="1"/>
        <v>319.45699999999999</v>
      </c>
      <c r="D136" s="136"/>
      <c r="E136" s="8"/>
      <c r="F136" s="1"/>
      <c r="G136" s="126"/>
      <c r="H136" s="8"/>
      <c r="I136" s="37"/>
      <c r="L136" s="37"/>
    </row>
    <row r="137" spans="1:12" x14ac:dyDescent="0.15">
      <c r="A137" s="144" t="s">
        <v>246</v>
      </c>
      <c r="B137" s="1" t="s">
        <v>82</v>
      </c>
      <c r="C137" s="240">
        <v>184.053</v>
      </c>
      <c r="D137" s="136"/>
      <c r="E137" s="8"/>
      <c r="G137" s="37"/>
      <c r="H137" s="37"/>
      <c r="I137" s="37"/>
      <c r="L137" s="37"/>
    </row>
    <row r="138" spans="1:12" x14ac:dyDescent="0.15">
      <c r="A138" s="144"/>
      <c r="B138" s="1" t="s">
        <v>83</v>
      </c>
      <c r="C138" s="240">
        <v>219.56400000000002</v>
      </c>
      <c r="D138" s="136"/>
      <c r="E138" s="8"/>
      <c r="G138" s="37"/>
      <c r="H138" s="37"/>
      <c r="I138" s="37"/>
      <c r="L138" s="37"/>
    </row>
    <row r="139" spans="1:12" x14ac:dyDescent="0.15">
      <c r="A139" s="144"/>
      <c r="B139" t="s">
        <v>132</v>
      </c>
      <c r="C139" s="240">
        <v>88.50892116632923</v>
      </c>
      <c r="D139" s="136"/>
      <c r="E139" s="8"/>
      <c r="G139" s="37"/>
      <c r="H139" s="37"/>
      <c r="I139" s="37"/>
      <c r="L139" s="37"/>
    </row>
    <row r="140" spans="1:12" x14ac:dyDescent="0.15">
      <c r="A140" s="144"/>
      <c r="B140" t="s">
        <v>131</v>
      </c>
      <c r="C140" s="240">
        <v>73.2</v>
      </c>
      <c r="D140" s="136"/>
      <c r="E140" s="8"/>
      <c r="G140" s="37"/>
      <c r="H140" s="37"/>
      <c r="I140" s="37"/>
      <c r="L140" s="37"/>
    </row>
    <row r="141" spans="1:12" x14ac:dyDescent="0.15">
      <c r="A141" s="144"/>
      <c r="B141" t="s">
        <v>84</v>
      </c>
      <c r="C141" s="240">
        <v>20.060000000000002</v>
      </c>
      <c r="D141" s="136"/>
      <c r="E141" s="8"/>
      <c r="G141" s="37"/>
      <c r="H141" s="37"/>
      <c r="I141" s="37"/>
      <c r="L141" s="37"/>
    </row>
    <row r="142" spans="1:12" x14ac:dyDescent="0.15">
      <c r="A142" s="144"/>
      <c r="B142" t="s">
        <v>85</v>
      </c>
      <c r="C142" s="240">
        <v>41.230000000000004</v>
      </c>
      <c r="D142" s="136"/>
      <c r="E142" s="8"/>
      <c r="G142" s="37"/>
      <c r="H142" s="37"/>
      <c r="I142" s="37"/>
      <c r="L142" s="37"/>
    </row>
    <row r="143" spans="1:12" x14ac:dyDescent="0.15">
      <c r="A143" s="144"/>
      <c r="B143" t="s">
        <v>86</v>
      </c>
      <c r="C143" s="240">
        <v>577.77800000000002</v>
      </c>
      <c r="D143" s="136"/>
      <c r="E143" s="8"/>
      <c r="G143" s="37"/>
      <c r="H143" s="37"/>
      <c r="I143" s="37"/>
      <c r="L143" s="37"/>
    </row>
    <row r="144" spans="1:12" x14ac:dyDescent="0.15">
      <c r="A144" s="144"/>
      <c r="B144" t="s">
        <v>303</v>
      </c>
      <c r="C144" s="240">
        <v>68.590999999999994</v>
      </c>
      <c r="D144" s="136"/>
      <c r="E144" s="8"/>
      <c r="G144" s="37"/>
      <c r="H144" s="37"/>
      <c r="I144" s="37"/>
      <c r="L144" s="37"/>
    </row>
    <row r="145" spans="1:12" x14ac:dyDescent="0.15">
      <c r="A145" s="144"/>
      <c r="B145" t="s">
        <v>88</v>
      </c>
      <c r="C145" s="240">
        <v>15.92</v>
      </c>
      <c r="D145" s="136"/>
      <c r="E145" s="8"/>
      <c r="G145" s="37"/>
      <c r="H145" s="37"/>
      <c r="I145" s="37"/>
      <c r="L145" s="37"/>
    </row>
    <row r="146" spans="1:12" x14ac:dyDescent="0.15">
      <c r="A146" s="144"/>
      <c r="B146" t="s">
        <v>89</v>
      </c>
      <c r="C146" s="240">
        <v>17.208000000000002</v>
      </c>
      <c r="D146" s="136"/>
      <c r="E146" s="8"/>
      <c r="G146" s="37"/>
      <c r="H146" s="37"/>
      <c r="I146" s="37"/>
      <c r="L146" s="37"/>
    </row>
    <row r="147" spans="1:12" x14ac:dyDescent="0.15">
      <c r="A147" s="144"/>
      <c r="B147" t="s">
        <v>90</v>
      </c>
      <c r="C147" s="240">
        <v>15.75</v>
      </c>
      <c r="D147" s="136"/>
      <c r="E147" s="8"/>
      <c r="G147" s="37"/>
      <c r="H147" s="37"/>
      <c r="I147" s="37"/>
      <c r="L147" s="37"/>
    </row>
    <row r="148" spans="1:12" x14ac:dyDescent="0.15">
      <c r="A148" s="144"/>
      <c r="B148" t="s">
        <v>91</v>
      </c>
      <c r="C148" s="240">
        <v>11.5</v>
      </c>
      <c r="D148" s="136"/>
      <c r="E148" s="8"/>
      <c r="G148" s="37"/>
      <c r="H148" s="37"/>
      <c r="I148" s="37"/>
      <c r="L148" s="37"/>
    </row>
    <row r="149" spans="1:12" x14ac:dyDescent="0.15">
      <c r="A149" s="144"/>
      <c r="B149" t="s">
        <v>92</v>
      </c>
      <c r="C149" s="240">
        <v>17.5</v>
      </c>
      <c r="D149" s="136"/>
      <c r="E149" s="8"/>
      <c r="G149" s="37"/>
      <c r="H149" s="37"/>
      <c r="I149" s="37"/>
      <c r="L149" s="37"/>
    </row>
    <row r="150" spans="1:12" x14ac:dyDescent="0.15">
      <c r="A150" s="144"/>
      <c r="B150" t="s">
        <v>93</v>
      </c>
      <c r="C150" s="240">
        <v>16.650000000000002</v>
      </c>
      <c r="D150" s="136"/>
      <c r="E150" s="8"/>
      <c r="G150" s="37"/>
      <c r="H150" s="37"/>
      <c r="I150" s="37"/>
      <c r="L150" s="37"/>
    </row>
    <row r="151" spans="1:12" x14ac:dyDescent="0.15">
      <c r="A151" s="144"/>
      <c r="B151" t="s">
        <v>272</v>
      </c>
      <c r="C151" s="240">
        <v>13.799999999999999</v>
      </c>
      <c r="D151" s="136"/>
      <c r="E151" s="8"/>
      <c r="G151" s="37"/>
      <c r="H151" s="37"/>
      <c r="I151" s="37"/>
      <c r="L151" s="37"/>
    </row>
    <row r="152" spans="1:12" x14ac:dyDescent="0.15">
      <c r="A152" s="144"/>
      <c r="B152" t="s">
        <v>273</v>
      </c>
      <c r="C152" s="240">
        <v>290.2180788336708</v>
      </c>
      <c r="D152" s="136"/>
      <c r="E152" s="8"/>
      <c r="G152" s="37"/>
      <c r="H152" s="37"/>
      <c r="I152" s="37"/>
      <c r="L152" s="37"/>
    </row>
    <row r="153" spans="1:12" x14ac:dyDescent="0.15">
      <c r="A153" s="144"/>
      <c r="B153" t="s">
        <v>274</v>
      </c>
      <c r="C153" s="240">
        <v>10.177</v>
      </c>
      <c r="D153" s="136"/>
      <c r="E153" s="8"/>
      <c r="G153" s="37"/>
      <c r="H153" s="37"/>
      <c r="I153" s="37"/>
      <c r="L153" s="37"/>
    </row>
    <row r="154" spans="1:12" x14ac:dyDescent="0.15">
      <c r="A154" s="144"/>
      <c r="B154" t="s">
        <v>275</v>
      </c>
      <c r="C154" s="240">
        <v>29.614999999999998</v>
      </c>
      <c r="D154" s="136"/>
      <c r="E154" s="8"/>
      <c r="G154" s="37"/>
      <c r="H154" s="37"/>
      <c r="I154" s="37"/>
      <c r="L154" s="37"/>
    </row>
    <row r="155" spans="1:12" x14ac:dyDescent="0.15">
      <c r="A155" s="144"/>
      <c r="B155" s="1" t="s">
        <v>309</v>
      </c>
      <c r="C155" s="240">
        <v>16.315999999999999</v>
      </c>
      <c r="D155" s="136"/>
      <c r="E155" s="8"/>
      <c r="G155" s="37"/>
      <c r="H155" s="37"/>
      <c r="I155" s="37"/>
      <c r="L155" s="37"/>
    </row>
    <row r="156" spans="1:12" x14ac:dyDescent="0.15">
      <c r="A156" s="144"/>
      <c r="B156" s="1" t="s">
        <v>283</v>
      </c>
      <c r="C156" s="88">
        <f t="shared" ref="C156:C164" si="2">MAX(0,C42-(C137-C23))</f>
        <v>0</v>
      </c>
      <c r="D156" s="136"/>
      <c r="E156" s="8"/>
      <c r="G156" s="37"/>
      <c r="H156" s="37"/>
      <c r="I156" s="37"/>
      <c r="L156" s="37"/>
    </row>
    <row r="157" spans="1:12" x14ac:dyDescent="0.15">
      <c r="A157" s="144"/>
      <c r="B157" s="1" t="s">
        <v>284</v>
      </c>
      <c r="C157" s="88">
        <f t="shared" si="2"/>
        <v>454.16300000000007</v>
      </c>
      <c r="D157" s="136"/>
      <c r="E157" s="8"/>
      <c r="G157" s="37"/>
      <c r="H157" s="37"/>
      <c r="I157" s="37"/>
      <c r="L157" s="37"/>
    </row>
    <row r="158" spans="1:12" x14ac:dyDescent="0.15">
      <c r="A158" s="144"/>
      <c r="B158" t="s">
        <v>285</v>
      </c>
      <c r="C158" s="88">
        <f t="shared" si="2"/>
        <v>1751.7510788336708</v>
      </c>
      <c r="D158" s="136"/>
      <c r="E158" s="8"/>
      <c r="G158" s="37"/>
      <c r="H158" s="37"/>
      <c r="I158" s="37"/>
      <c r="L158" s="37"/>
    </row>
    <row r="159" spans="1:12" x14ac:dyDescent="0.15">
      <c r="A159" s="144"/>
      <c r="B159" t="s">
        <v>286</v>
      </c>
      <c r="C159" s="88">
        <f t="shared" si="2"/>
        <v>208.59100000000004</v>
      </c>
      <c r="D159" s="136"/>
      <c r="E159" s="8"/>
      <c r="G159" s="37"/>
      <c r="H159" s="37"/>
      <c r="I159" s="37"/>
      <c r="L159" s="37"/>
    </row>
    <row r="160" spans="1:12" x14ac:dyDescent="0.15">
      <c r="A160" s="144"/>
      <c r="B160" t="s">
        <v>287</v>
      </c>
      <c r="C160" s="88">
        <f t="shared" si="2"/>
        <v>85.773999999999987</v>
      </c>
      <c r="D160" s="136"/>
      <c r="E160" s="8"/>
      <c r="G160" s="37"/>
      <c r="H160" s="37"/>
      <c r="I160" s="37"/>
      <c r="L160" s="37"/>
    </row>
    <row r="161" spans="1:12" x14ac:dyDescent="0.15">
      <c r="A161" s="144"/>
      <c r="B161" t="s">
        <v>288</v>
      </c>
      <c r="C161" s="88">
        <f t="shared" si="2"/>
        <v>502.09499999999991</v>
      </c>
      <c r="D161" s="136"/>
      <c r="E161" s="8"/>
      <c r="G161" s="37"/>
      <c r="H161" s="37"/>
      <c r="I161" s="37"/>
      <c r="L161" s="37"/>
    </row>
    <row r="162" spans="1:12" x14ac:dyDescent="0.15">
      <c r="A162" s="144"/>
      <c r="B162" t="s">
        <v>289</v>
      </c>
      <c r="C162" s="88">
        <f t="shared" si="2"/>
        <v>300.14200000000005</v>
      </c>
      <c r="D162" s="136"/>
      <c r="E162" s="8"/>
      <c r="G162" s="37"/>
      <c r="H162" s="37"/>
      <c r="I162" s="37"/>
      <c r="L162" s="37"/>
    </row>
    <row r="163" spans="1:12" x14ac:dyDescent="0.15">
      <c r="A163" s="144"/>
      <c r="B163" t="s">
        <v>306</v>
      </c>
      <c r="C163" s="88">
        <f t="shared" si="2"/>
        <v>121.97200000000001</v>
      </c>
      <c r="D163" s="136"/>
      <c r="E163" s="8"/>
      <c r="G163" s="37"/>
      <c r="H163" s="37"/>
      <c r="I163" s="37"/>
      <c r="L163" s="37"/>
    </row>
    <row r="164" spans="1:12" x14ac:dyDescent="0.15">
      <c r="A164" s="144"/>
      <c r="B164" t="s">
        <v>290</v>
      </c>
      <c r="C164" s="88">
        <f t="shared" si="2"/>
        <v>112.056</v>
      </c>
      <c r="D164" s="136"/>
      <c r="E164" s="8"/>
      <c r="G164" s="37"/>
      <c r="H164" s="37"/>
      <c r="I164" s="37"/>
      <c r="L164" s="37"/>
    </row>
    <row r="165" spans="1:12" x14ac:dyDescent="0.15">
      <c r="A165" s="144"/>
      <c r="B165" t="s">
        <v>291</v>
      </c>
      <c r="C165" s="88">
        <f t="shared" ref="C165:C174" si="3">MAX(0,C56-(C146-C32))</f>
        <v>0</v>
      </c>
      <c r="D165" s="136"/>
      <c r="E165" s="8"/>
      <c r="G165" s="37"/>
      <c r="H165" s="37"/>
      <c r="I165" s="37"/>
      <c r="L165" s="37"/>
    </row>
    <row r="166" spans="1:12" x14ac:dyDescent="0.15">
      <c r="A166" s="144"/>
      <c r="B166" t="s">
        <v>293</v>
      </c>
      <c r="C166" s="88">
        <f t="shared" si="3"/>
        <v>964.64</v>
      </c>
      <c r="D166" s="136"/>
      <c r="E166" s="8"/>
      <c r="L166" s="37"/>
    </row>
    <row r="167" spans="1:12" x14ac:dyDescent="0.15">
      <c r="A167" s="144"/>
      <c r="B167" t="s">
        <v>292</v>
      </c>
      <c r="C167" s="88">
        <f t="shared" si="3"/>
        <v>121.75500000000002</v>
      </c>
      <c r="D167" s="136"/>
      <c r="E167" s="8"/>
      <c r="L167" s="8"/>
    </row>
    <row r="168" spans="1:12" x14ac:dyDescent="0.15">
      <c r="A168" s="144"/>
      <c r="B168" t="s">
        <v>294</v>
      </c>
      <c r="C168" s="88">
        <f t="shared" si="3"/>
        <v>83.749000000000009</v>
      </c>
      <c r="D168" s="136"/>
      <c r="E168" s="8"/>
      <c r="L168" s="37"/>
    </row>
    <row r="169" spans="1:12" x14ac:dyDescent="0.15">
      <c r="A169" s="144"/>
      <c r="B169" t="s">
        <v>295</v>
      </c>
      <c r="C169" s="88">
        <f t="shared" si="3"/>
        <v>303.15699999999998</v>
      </c>
      <c r="D169" s="136"/>
      <c r="E169" s="8"/>
      <c r="L169" s="37"/>
    </row>
    <row r="170" spans="1:12" x14ac:dyDescent="0.15">
      <c r="A170" s="144"/>
      <c r="B170" t="s">
        <v>296</v>
      </c>
      <c r="C170" s="88">
        <f t="shared" si="3"/>
        <v>70.253</v>
      </c>
      <c r="D170" s="136"/>
      <c r="E170" s="8"/>
      <c r="L170" s="37"/>
    </row>
    <row r="171" spans="1:12" x14ac:dyDescent="0.15">
      <c r="A171" s="144"/>
      <c r="B171" t="s">
        <v>297</v>
      </c>
      <c r="C171" s="88">
        <f t="shared" si="3"/>
        <v>0</v>
      </c>
      <c r="D171" s="136"/>
      <c r="E171" s="8"/>
      <c r="L171" s="37"/>
    </row>
    <row r="172" spans="1:12" x14ac:dyDescent="0.15">
      <c r="A172" s="144"/>
      <c r="B172" t="s">
        <v>298</v>
      </c>
      <c r="C172" s="88">
        <f t="shared" si="3"/>
        <v>18.101999999999997</v>
      </c>
      <c r="D172" s="136"/>
      <c r="E172" s="8"/>
      <c r="L172" s="37"/>
    </row>
    <row r="173" spans="1:12" x14ac:dyDescent="0.15">
      <c r="A173" s="144"/>
      <c r="B173" t="s">
        <v>299</v>
      </c>
      <c r="C173" s="88">
        <f t="shared" si="3"/>
        <v>15.677</v>
      </c>
      <c r="D173" s="136"/>
      <c r="E173" s="8"/>
      <c r="L173" s="37"/>
    </row>
    <row r="174" spans="1:12" ht="12" thickBot="1" x14ac:dyDescent="0.2">
      <c r="A174" s="164"/>
      <c r="B174" s="16" t="s">
        <v>311</v>
      </c>
      <c r="C174" s="242">
        <f t="shared" si="3"/>
        <v>16.397000000000002</v>
      </c>
      <c r="D174" s="136"/>
      <c r="E174" s="8"/>
      <c r="G174" s="1"/>
      <c r="H174" s="1"/>
      <c r="L174" s="37"/>
    </row>
    <row r="175" spans="1:12" x14ac:dyDescent="0.15">
      <c r="A175" s="59" t="s">
        <v>329</v>
      </c>
      <c r="B175" s="1" t="s">
        <v>82</v>
      </c>
      <c r="C175" s="240">
        <v>6.9980000000000002</v>
      </c>
      <c r="D175" s="136"/>
      <c r="E175" s="8"/>
      <c r="G175" s="123"/>
      <c r="H175" s="8"/>
      <c r="L175" s="37"/>
    </row>
    <row r="176" spans="1:12" x14ac:dyDescent="0.15">
      <c r="A176" s="59"/>
      <c r="B176" s="1" t="s">
        <v>83</v>
      </c>
      <c r="C176" s="240">
        <v>0.41399999999999998</v>
      </c>
      <c r="D176" s="136"/>
      <c r="E176" s="8"/>
      <c r="G176" s="1"/>
      <c r="H176" s="128"/>
      <c r="L176" s="37"/>
    </row>
    <row r="177" spans="1:12" x14ac:dyDescent="0.15">
      <c r="A177" s="59"/>
      <c r="B177" t="s">
        <v>132</v>
      </c>
      <c r="C177" s="240">
        <v>13.816000000000001</v>
      </c>
      <c r="D177" s="136"/>
      <c r="E177" s="8"/>
      <c r="G177" s="46"/>
      <c r="H177" s="128"/>
      <c r="L177" s="37"/>
    </row>
    <row r="178" spans="1:12" x14ac:dyDescent="0.15">
      <c r="A178" s="59"/>
      <c r="B178" t="s">
        <v>131</v>
      </c>
      <c r="C178" s="240">
        <v>11.6</v>
      </c>
      <c r="D178" s="136"/>
      <c r="E178" s="8"/>
      <c r="G178" s="46"/>
      <c r="H178" s="128"/>
      <c r="L178" s="37"/>
    </row>
    <row r="179" spans="1:12" x14ac:dyDescent="0.15">
      <c r="A179" s="59"/>
      <c r="B179" t="s">
        <v>84</v>
      </c>
      <c r="C179" s="240">
        <v>14.200000000000001</v>
      </c>
      <c r="D179" s="136"/>
      <c r="E179" s="8"/>
      <c r="G179" s="46"/>
      <c r="H179" s="133"/>
      <c r="L179" s="37"/>
    </row>
    <row r="180" spans="1:12" x14ac:dyDescent="0.15">
      <c r="A180" s="59"/>
      <c r="B180" t="s">
        <v>85</v>
      </c>
      <c r="C180" s="240">
        <v>10.1</v>
      </c>
      <c r="D180" s="136"/>
      <c r="E180" s="8"/>
      <c r="L180" s="37"/>
    </row>
    <row r="181" spans="1:12" x14ac:dyDescent="0.15">
      <c r="A181" s="59"/>
      <c r="B181" t="s">
        <v>86</v>
      </c>
      <c r="C181" s="240">
        <v>28.186</v>
      </c>
      <c r="D181" s="136"/>
      <c r="E181" s="8"/>
      <c r="L181" s="37"/>
    </row>
    <row r="182" spans="1:12" x14ac:dyDescent="0.15">
      <c r="A182" s="59"/>
      <c r="B182" t="s">
        <v>303</v>
      </c>
      <c r="C182" s="240">
        <v>35.981000000000002</v>
      </c>
      <c r="D182" s="136"/>
      <c r="E182" s="8"/>
      <c r="L182" s="37"/>
    </row>
    <row r="183" spans="1:12" x14ac:dyDescent="0.15">
      <c r="A183" s="59"/>
      <c r="B183" t="s">
        <v>88</v>
      </c>
      <c r="C183" s="240">
        <v>0.62</v>
      </c>
      <c r="D183" s="136"/>
      <c r="E183" s="8"/>
      <c r="L183" s="37"/>
    </row>
    <row r="184" spans="1:12" x14ac:dyDescent="0.15">
      <c r="A184" s="59"/>
      <c r="B184" t="s">
        <v>89</v>
      </c>
      <c r="C184" s="240">
        <v>0.2</v>
      </c>
      <c r="D184" s="136"/>
      <c r="E184" s="8"/>
      <c r="L184" s="37"/>
    </row>
    <row r="185" spans="1:12" x14ac:dyDescent="0.15">
      <c r="A185" s="59"/>
      <c r="B185" t="s">
        <v>90</v>
      </c>
      <c r="C185" s="240">
        <v>0.75</v>
      </c>
      <c r="D185" s="136"/>
      <c r="E185" s="8"/>
      <c r="L185" s="37"/>
    </row>
    <row r="186" spans="1:12" x14ac:dyDescent="0.15">
      <c r="A186" s="59"/>
      <c r="B186" t="s">
        <v>91</v>
      </c>
      <c r="C186" s="240">
        <v>1</v>
      </c>
      <c r="D186" s="136"/>
      <c r="E186" s="8"/>
    </row>
    <row r="187" spans="1:12" x14ac:dyDescent="0.15">
      <c r="A187" s="59"/>
      <c r="B187" t="s">
        <v>92</v>
      </c>
      <c r="C187" s="240">
        <v>2.5</v>
      </c>
      <c r="D187" s="136"/>
      <c r="E187" s="8"/>
    </row>
    <row r="188" spans="1:12" x14ac:dyDescent="0.15">
      <c r="A188" s="59"/>
      <c r="B188" t="s">
        <v>93</v>
      </c>
      <c r="C188" s="240">
        <v>0.35</v>
      </c>
      <c r="D188" s="136"/>
      <c r="E188" s="8"/>
    </row>
    <row r="189" spans="1:12" x14ac:dyDescent="0.15">
      <c r="A189" s="59"/>
      <c r="B189" t="s">
        <v>272</v>
      </c>
      <c r="C189" s="240">
        <v>0</v>
      </c>
      <c r="D189" s="136"/>
      <c r="E189" s="8"/>
    </row>
    <row r="190" spans="1:12" x14ac:dyDescent="0.15">
      <c r="A190" s="59"/>
      <c r="B190" t="s">
        <v>273</v>
      </c>
      <c r="C190" s="240">
        <v>17</v>
      </c>
      <c r="D190" s="136"/>
      <c r="E190" s="8"/>
    </row>
    <row r="191" spans="1:12" x14ac:dyDescent="0.15">
      <c r="A191" s="59"/>
      <c r="B191" t="s">
        <v>274</v>
      </c>
      <c r="C191" s="240">
        <v>4.1770000000000005</v>
      </c>
      <c r="D191" s="136"/>
      <c r="E191" s="8"/>
    </row>
    <row r="192" spans="1:12" x14ac:dyDescent="0.15">
      <c r="A192" s="59"/>
      <c r="B192" t="s">
        <v>275</v>
      </c>
      <c r="C192" s="240">
        <v>22.091999999999999</v>
      </c>
      <c r="D192" s="136"/>
      <c r="E192" s="8"/>
    </row>
    <row r="193" spans="1:5" x14ac:dyDescent="0.15">
      <c r="A193" s="59"/>
      <c r="B193" s="1" t="s">
        <v>309</v>
      </c>
      <c r="C193" s="240">
        <v>12.652999999999999</v>
      </c>
      <c r="D193" s="136"/>
      <c r="E193" s="8"/>
    </row>
    <row r="194" spans="1:5" x14ac:dyDescent="0.15">
      <c r="A194" s="59"/>
      <c r="B194" s="1" t="s">
        <v>283</v>
      </c>
      <c r="C194" s="88">
        <v>130.68645969327088</v>
      </c>
      <c r="D194" s="136"/>
      <c r="E194" s="8"/>
    </row>
    <row r="195" spans="1:5" x14ac:dyDescent="0.15">
      <c r="A195" s="59"/>
      <c r="B195" s="1" t="s">
        <v>284</v>
      </c>
      <c r="C195" s="88">
        <v>1002.0029406089401</v>
      </c>
      <c r="D195" s="136"/>
      <c r="E195" s="8"/>
    </row>
    <row r="196" spans="1:5" x14ac:dyDescent="0.15">
      <c r="A196" s="59"/>
      <c r="B196" t="s">
        <v>285</v>
      </c>
      <c r="C196" s="88">
        <v>2528.6572681036173</v>
      </c>
      <c r="D196" s="136"/>
      <c r="E196" s="8"/>
    </row>
    <row r="197" spans="1:5" x14ac:dyDescent="0.15">
      <c r="A197" s="59"/>
      <c r="B197" t="s">
        <v>286</v>
      </c>
      <c r="C197" s="88">
        <v>341.1426776661765</v>
      </c>
      <c r="D197" s="136"/>
      <c r="E197" s="8"/>
    </row>
    <row r="198" spans="1:5" x14ac:dyDescent="0.15">
      <c r="A198" s="59"/>
      <c r="B198" t="s">
        <v>287</v>
      </c>
      <c r="C198" s="88">
        <v>129.37113358477438</v>
      </c>
      <c r="D198" s="136"/>
      <c r="E198" s="8"/>
    </row>
    <row r="199" spans="1:5" x14ac:dyDescent="0.15">
      <c r="A199" s="59"/>
      <c r="B199" t="s">
        <v>288</v>
      </c>
      <c r="C199" s="88">
        <v>752.82016179301706</v>
      </c>
      <c r="D199" s="136"/>
      <c r="E199" s="8"/>
    </row>
    <row r="200" spans="1:5" x14ac:dyDescent="0.15">
      <c r="A200" s="59"/>
      <c r="B200" t="s">
        <v>289</v>
      </c>
      <c r="C200" s="88">
        <v>1176.4313907542523</v>
      </c>
      <c r="D200" s="136"/>
      <c r="E200" s="8"/>
    </row>
    <row r="201" spans="1:5" x14ac:dyDescent="0.15">
      <c r="A201" s="59"/>
      <c r="B201" t="s">
        <v>306</v>
      </c>
      <c r="C201" s="88">
        <v>218.24266726107771</v>
      </c>
      <c r="D201" s="136"/>
      <c r="E201" s="8"/>
    </row>
    <row r="202" spans="1:5" x14ac:dyDescent="0.15">
      <c r="A202" s="59"/>
      <c r="B202" t="s">
        <v>290</v>
      </c>
      <c r="C202" s="88">
        <v>176.32058526656405</v>
      </c>
      <c r="D202" s="136"/>
      <c r="E202" s="8"/>
    </row>
    <row r="203" spans="1:5" x14ac:dyDescent="0.15">
      <c r="A203" s="59"/>
      <c r="B203" t="s">
        <v>291</v>
      </c>
      <c r="C203" s="88">
        <v>180.42129858130249</v>
      </c>
      <c r="D203" s="136"/>
      <c r="E203" s="8"/>
    </row>
    <row r="204" spans="1:5" x14ac:dyDescent="0.15">
      <c r="A204" s="59"/>
      <c r="B204" t="s">
        <v>293</v>
      </c>
      <c r="C204" s="88">
        <v>31.906499953305975</v>
      </c>
      <c r="D204" s="136"/>
      <c r="E204" s="8"/>
    </row>
    <row r="205" spans="1:5" x14ac:dyDescent="0.15">
      <c r="A205" s="59"/>
      <c r="B205" t="s">
        <v>292</v>
      </c>
      <c r="C205" s="88">
        <v>52.998903267920944</v>
      </c>
      <c r="D205" s="136"/>
      <c r="E205" s="8"/>
    </row>
    <row r="206" spans="1:5" x14ac:dyDescent="0.15">
      <c r="A206" s="59"/>
      <c r="B206" t="s">
        <v>294</v>
      </c>
      <c r="C206" s="88">
        <v>76.976542454387399</v>
      </c>
      <c r="D206" s="136"/>
      <c r="E206" s="8"/>
    </row>
    <row r="207" spans="1:5" x14ac:dyDescent="0.15">
      <c r="A207" s="59"/>
      <c r="B207" t="s">
        <v>295</v>
      </c>
      <c r="C207" s="88">
        <v>22.467776369776498</v>
      </c>
      <c r="D207" s="136"/>
      <c r="E207" s="8"/>
    </row>
    <row r="208" spans="1:5" x14ac:dyDescent="0.15">
      <c r="A208" s="59"/>
      <c r="B208" t="s">
        <v>296</v>
      </c>
      <c r="C208" s="88">
        <v>6.3505647524869602</v>
      </c>
      <c r="D208" s="136"/>
      <c r="E208" s="8"/>
    </row>
    <row r="209" spans="1:5" x14ac:dyDescent="0.15">
      <c r="A209" s="59"/>
      <c r="B209" t="s">
        <v>297</v>
      </c>
      <c r="C209" s="88">
        <v>1356.282375000289</v>
      </c>
      <c r="D209" s="136"/>
      <c r="E209" s="8"/>
    </row>
    <row r="210" spans="1:5" x14ac:dyDescent="0.15">
      <c r="A210" s="59"/>
      <c r="B210" t="s">
        <v>298</v>
      </c>
      <c r="C210" s="88">
        <v>186.72085985828772</v>
      </c>
      <c r="D210" s="136"/>
      <c r="E210" s="8"/>
    </row>
    <row r="211" spans="1:5" x14ac:dyDescent="0.15">
      <c r="A211" s="59"/>
      <c r="B211" t="s">
        <v>299</v>
      </c>
      <c r="C211" s="88">
        <v>136.7150465976313</v>
      </c>
      <c r="D211" s="136"/>
      <c r="E211" s="8"/>
    </row>
    <row r="212" spans="1:5" ht="12" thickBot="1" x14ac:dyDescent="0.2">
      <c r="A212" s="63"/>
      <c r="B212" s="16" t="s">
        <v>311</v>
      </c>
      <c r="C212" s="116">
        <v>442.27869285703656</v>
      </c>
      <c r="D212" s="136"/>
      <c r="E212" s="8"/>
    </row>
    <row r="213" spans="1:5" x14ac:dyDescent="0.15">
      <c r="A213" s="58" t="s">
        <v>330</v>
      </c>
      <c r="B213" s="1" t="s">
        <v>82</v>
      </c>
      <c r="C213" s="240">
        <v>84.052999999999997</v>
      </c>
      <c r="D213" s="136"/>
      <c r="E213" s="8"/>
    </row>
    <row r="214" spans="1:5" x14ac:dyDescent="0.15">
      <c r="A214" s="58"/>
      <c r="B214" s="1" t="s">
        <v>83</v>
      </c>
      <c r="C214" s="240">
        <v>19.564</v>
      </c>
      <c r="D214" s="136"/>
      <c r="E214" s="8"/>
    </row>
    <row r="215" spans="1:5" x14ac:dyDescent="0.15">
      <c r="A215" s="58"/>
      <c r="B215" t="s">
        <v>132</v>
      </c>
      <c r="C215" s="240">
        <v>24.101999999999997</v>
      </c>
      <c r="D215" s="136"/>
      <c r="E215" s="8"/>
    </row>
    <row r="216" spans="1:5" x14ac:dyDescent="0.15">
      <c r="A216" s="58"/>
      <c r="B216" t="s">
        <v>131</v>
      </c>
      <c r="C216" s="240">
        <v>23.2</v>
      </c>
      <c r="D216" s="136"/>
      <c r="E216" s="8"/>
    </row>
    <row r="217" spans="1:5" x14ac:dyDescent="0.15">
      <c r="A217" s="58"/>
      <c r="B217" t="s">
        <v>84</v>
      </c>
      <c r="C217" s="240">
        <v>20.060000000000002</v>
      </c>
      <c r="D217" s="136"/>
      <c r="E217" s="8"/>
    </row>
    <row r="218" spans="1:5" x14ac:dyDescent="0.15">
      <c r="A218" s="58"/>
      <c r="B218" t="s">
        <v>85</v>
      </c>
      <c r="C218" s="240">
        <v>16.23</v>
      </c>
      <c r="D218" s="136"/>
      <c r="E218" s="8"/>
    </row>
    <row r="219" spans="1:5" x14ac:dyDescent="0.15">
      <c r="A219" s="58"/>
      <c r="B219" t="s">
        <v>86</v>
      </c>
      <c r="C219" s="240">
        <v>133.97800000000001</v>
      </c>
      <c r="D219" s="136"/>
      <c r="E219" s="8"/>
    </row>
    <row r="220" spans="1:5" x14ac:dyDescent="0.15">
      <c r="A220" s="58"/>
      <c r="B220" t="s">
        <v>303</v>
      </c>
      <c r="C220" s="240">
        <v>43.591000000000001</v>
      </c>
      <c r="D220" s="136"/>
      <c r="E220" s="8"/>
    </row>
    <row r="221" spans="1:5" x14ac:dyDescent="0.15">
      <c r="A221" s="58"/>
      <c r="B221" t="s">
        <v>88</v>
      </c>
      <c r="C221" s="240">
        <v>0.92</v>
      </c>
      <c r="D221" s="136"/>
      <c r="E221" s="8"/>
    </row>
    <row r="222" spans="1:5" x14ac:dyDescent="0.15">
      <c r="A222" s="58"/>
      <c r="B222" t="s">
        <v>89</v>
      </c>
      <c r="C222" s="240">
        <v>7.2080000000000002</v>
      </c>
      <c r="D222" s="136"/>
      <c r="E222" s="8"/>
    </row>
    <row r="223" spans="1:5" x14ac:dyDescent="0.15">
      <c r="A223" s="58"/>
      <c r="B223" t="s">
        <v>90</v>
      </c>
      <c r="C223" s="240">
        <v>5.75</v>
      </c>
      <c r="D223" s="136"/>
      <c r="E223" s="8"/>
    </row>
    <row r="224" spans="1:5" x14ac:dyDescent="0.15">
      <c r="A224" s="58"/>
      <c r="B224" t="s">
        <v>91</v>
      </c>
      <c r="C224" s="240">
        <v>1.5</v>
      </c>
      <c r="D224" s="136"/>
      <c r="E224" s="8"/>
    </row>
    <row r="225" spans="1:5" x14ac:dyDescent="0.15">
      <c r="A225" s="58"/>
      <c r="B225" t="s">
        <v>92</v>
      </c>
      <c r="C225" s="240">
        <v>7.5</v>
      </c>
      <c r="D225" s="136"/>
      <c r="E225" s="8"/>
    </row>
    <row r="226" spans="1:5" x14ac:dyDescent="0.15">
      <c r="A226" s="58"/>
      <c r="B226" t="s">
        <v>93</v>
      </c>
      <c r="C226" s="240">
        <v>6.6499999999999995</v>
      </c>
      <c r="D226" s="136"/>
      <c r="E226" s="8"/>
    </row>
    <row r="227" spans="1:5" x14ac:dyDescent="0.15">
      <c r="A227" s="58"/>
      <c r="B227" t="s">
        <v>272</v>
      </c>
      <c r="C227" s="240">
        <v>13.799999999999999</v>
      </c>
      <c r="D227" s="136"/>
      <c r="E227" s="8"/>
    </row>
    <row r="228" spans="1:5" x14ac:dyDescent="0.15">
      <c r="A228" s="58"/>
      <c r="B228" t="s">
        <v>273</v>
      </c>
      <c r="C228" s="240">
        <v>54.625</v>
      </c>
      <c r="D228" s="136"/>
      <c r="E228" s="8"/>
    </row>
    <row r="229" spans="1:5" x14ac:dyDescent="0.15">
      <c r="A229" s="58"/>
      <c r="B229" t="s">
        <v>274</v>
      </c>
      <c r="C229" s="240">
        <v>10.177</v>
      </c>
      <c r="D229" s="136"/>
      <c r="E229" s="8"/>
    </row>
    <row r="230" spans="1:5" x14ac:dyDescent="0.15">
      <c r="A230" s="58"/>
      <c r="B230" t="s">
        <v>275</v>
      </c>
      <c r="C230" s="240">
        <v>29.614999999999998</v>
      </c>
      <c r="D230" s="136"/>
      <c r="E230" s="8"/>
    </row>
    <row r="231" spans="1:5" x14ac:dyDescent="0.15">
      <c r="A231" s="58"/>
      <c r="B231" s="1" t="s">
        <v>309</v>
      </c>
      <c r="C231" s="240">
        <v>16.315999999999999</v>
      </c>
      <c r="D231" s="136"/>
      <c r="E231" s="8"/>
    </row>
    <row r="232" spans="1:5" x14ac:dyDescent="0.15">
      <c r="A232" s="58"/>
      <c r="B232" s="1" t="s">
        <v>283</v>
      </c>
      <c r="C232" s="88">
        <f>MAX(0,C194-(C213-C175))</f>
        <v>53.631459693270884</v>
      </c>
      <c r="D232" s="136"/>
      <c r="E232" s="8"/>
    </row>
    <row r="233" spans="1:5" x14ac:dyDescent="0.15">
      <c r="A233" s="58"/>
      <c r="B233" s="1" t="s">
        <v>284</v>
      </c>
      <c r="C233" s="88">
        <f t="shared" ref="C233:C250" si="4">MAX(0,C195-(C214-C176))</f>
        <v>982.85294060894012</v>
      </c>
      <c r="D233" s="136"/>
      <c r="E233" s="8"/>
    </row>
    <row r="234" spans="1:5" x14ac:dyDescent="0.15">
      <c r="A234" s="58"/>
      <c r="B234" t="s">
        <v>285</v>
      </c>
      <c r="C234" s="88">
        <f>MAX(0,C196-(C215-C177))</f>
        <v>2518.3712681036172</v>
      </c>
      <c r="D234" s="136"/>
      <c r="E234" s="8"/>
    </row>
    <row r="235" spans="1:5" x14ac:dyDescent="0.15">
      <c r="A235" s="58"/>
      <c r="B235" t="s">
        <v>286</v>
      </c>
      <c r="C235" s="88">
        <f t="shared" si="4"/>
        <v>329.54267766617647</v>
      </c>
      <c r="D235" s="136"/>
      <c r="E235" s="8"/>
    </row>
    <row r="236" spans="1:5" x14ac:dyDescent="0.15">
      <c r="A236" s="58"/>
      <c r="B236" t="s">
        <v>287</v>
      </c>
      <c r="C236" s="88">
        <f t="shared" si="4"/>
        <v>123.51113358477438</v>
      </c>
      <c r="D236" s="136"/>
      <c r="E236" s="8"/>
    </row>
    <row r="237" spans="1:5" x14ac:dyDescent="0.15">
      <c r="A237" s="58"/>
      <c r="B237" t="s">
        <v>288</v>
      </c>
      <c r="C237" s="88">
        <f t="shared" si="4"/>
        <v>746.69016179301707</v>
      </c>
      <c r="D237" s="136"/>
      <c r="E237" s="8"/>
    </row>
    <row r="238" spans="1:5" x14ac:dyDescent="0.15">
      <c r="A238" s="58"/>
      <c r="B238" t="s">
        <v>289</v>
      </c>
      <c r="C238" s="88">
        <f t="shared" si="4"/>
        <v>1070.6393907542524</v>
      </c>
      <c r="D238" s="136"/>
      <c r="E238" s="8"/>
    </row>
    <row r="239" spans="1:5" x14ac:dyDescent="0.15">
      <c r="A239" s="58"/>
      <c r="B239" t="s">
        <v>306</v>
      </c>
      <c r="C239" s="88">
        <f t="shared" si="4"/>
        <v>210.6326672610777</v>
      </c>
      <c r="D239" s="136"/>
      <c r="E239" s="8"/>
    </row>
    <row r="240" spans="1:5" x14ac:dyDescent="0.15">
      <c r="A240" s="58"/>
      <c r="B240" t="s">
        <v>290</v>
      </c>
      <c r="C240" s="88">
        <f t="shared" si="4"/>
        <v>176.02058526656404</v>
      </c>
      <c r="D240" s="136"/>
      <c r="E240" s="8"/>
    </row>
    <row r="241" spans="1:5" x14ac:dyDescent="0.15">
      <c r="A241" s="58"/>
      <c r="B241" t="s">
        <v>291</v>
      </c>
      <c r="C241" s="88">
        <f t="shared" si="4"/>
        <v>173.41329858130248</v>
      </c>
      <c r="D241" s="136"/>
      <c r="E241" s="8"/>
    </row>
    <row r="242" spans="1:5" x14ac:dyDescent="0.15">
      <c r="A242" s="58"/>
      <c r="B242" t="s">
        <v>293</v>
      </c>
      <c r="C242" s="88">
        <f t="shared" si="4"/>
        <v>26.906499953305975</v>
      </c>
      <c r="D242" s="136"/>
      <c r="E242" s="8"/>
    </row>
    <row r="243" spans="1:5" x14ac:dyDescent="0.15">
      <c r="A243" s="58"/>
      <c r="B243" t="s">
        <v>292</v>
      </c>
      <c r="C243" s="88">
        <f t="shared" si="4"/>
        <v>52.498903267920944</v>
      </c>
      <c r="D243" s="136"/>
      <c r="E243" s="8"/>
    </row>
    <row r="244" spans="1:5" x14ac:dyDescent="0.15">
      <c r="A244" s="58"/>
      <c r="B244" t="s">
        <v>294</v>
      </c>
      <c r="C244" s="88">
        <f t="shared" si="4"/>
        <v>71.976542454387399</v>
      </c>
      <c r="D244" s="136"/>
      <c r="E244" s="8"/>
    </row>
    <row r="245" spans="1:5" x14ac:dyDescent="0.15">
      <c r="A245" s="58"/>
      <c r="B245" t="s">
        <v>295</v>
      </c>
      <c r="C245" s="88">
        <f t="shared" si="4"/>
        <v>16.167776369776497</v>
      </c>
      <c r="D245" s="136"/>
      <c r="E245" s="8"/>
    </row>
    <row r="246" spans="1:5" x14ac:dyDescent="0.15">
      <c r="A246" s="58"/>
      <c r="B246" t="s">
        <v>296</v>
      </c>
      <c r="C246" s="88">
        <f t="shared" si="4"/>
        <v>0</v>
      </c>
      <c r="D246" s="136"/>
      <c r="E246" s="8"/>
    </row>
    <row r="247" spans="1:5" x14ac:dyDescent="0.15">
      <c r="A247" s="58"/>
      <c r="B247" t="s">
        <v>297</v>
      </c>
      <c r="C247" s="88">
        <f t="shared" si="4"/>
        <v>1318.657375000289</v>
      </c>
      <c r="D247" s="136"/>
      <c r="E247" s="8"/>
    </row>
    <row r="248" spans="1:5" x14ac:dyDescent="0.15">
      <c r="A248" s="58"/>
      <c r="B248" t="s">
        <v>298</v>
      </c>
      <c r="C248" s="88">
        <f t="shared" si="4"/>
        <v>180.72085985828772</v>
      </c>
      <c r="D248" s="136"/>
      <c r="E248" s="8"/>
    </row>
    <row r="249" spans="1:5" x14ac:dyDescent="0.15">
      <c r="A249" s="122"/>
      <c r="B249" t="s">
        <v>299</v>
      </c>
      <c r="C249" s="88">
        <f t="shared" si="4"/>
        <v>129.1920465976313</v>
      </c>
      <c r="D249" s="136"/>
      <c r="E249" s="8"/>
    </row>
    <row r="250" spans="1:5" x14ac:dyDescent="0.15">
      <c r="A250" s="120"/>
      <c r="B250" s="16" t="s">
        <v>311</v>
      </c>
      <c r="C250" s="116">
        <f t="shared" si="4"/>
        <v>438.61569285703655</v>
      </c>
      <c r="D250" s="136"/>
      <c r="E250" s="8"/>
    </row>
    <row r="251" spans="1:5" x14ac:dyDescent="0.15">
      <c r="A251" s="144" t="s">
        <v>331</v>
      </c>
      <c r="B251" s="1" t="s">
        <v>82</v>
      </c>
      <c r="C251" s="240">
        <v>184.053</v>
      </c>
      <c r="D251" s="136"/>
      <c r="E251" s="8"/>
    </row>
    <row r="252" spans="1:5" x14ac:dyDescent="0.15">
      <c r="A252" s="144"/>
      <c r="B252" s="1" t="s">
        <v>83</v>
      </c>
      <c r="C252" s="240">
        <v>219.56400000000002</v>
      </c>
      <c r="D252" s="136"/>
      <c r="E252" s="8"/>
    </row>
    <row r="253" spans="1:5" x14ac:dyDescent="0.15">
      <c r="A253" s="144"/>
      <c r="B253" t="s">
        <v>132</v>
      </c>
      <c r="C253" s="240">
        <v>88.50892116632923</v>
      </c>
      <c r="D253" s="136"/>
      <c r="E253" s="8"/>
    </row>
    <row r="254" spans="1:5" x14ac:dyDescent="0.15">
      <c r="A254" s="144"/>
      <c r="B254" t="s">
        <v>131</v>
      </c>
      <c r="C254" s="240">
        <v>73.2</v>
      </c>
      <c r="D254" s="136"/>
      <c r="E254" s="8"/>
    </row>
    <row r="255" spans="1:5" x14ac:dyDescent="0.15">
      <c r="A255" s="144"/>
      <c r="B255" t="s">
        <v>84</v>
      </c>
      <c r="C255" s="240">
        <v>20.060000000000002</v>
      </c>
      <c r="D255" s="136"/>
      <c r="E255" s="8"/>
    </row>
    <row r="256" spans="1:5" x14ac:dyDescent="0.15">
      <c r="A256" s="144"/>
      <c r="B256" t="s">
        <v>85</v>
      </c>
      <c r="C256" s="240">
        <v>41.230000000000004</v>
      </c>
      <c r="D256" s="136"/>
      <c r="E256" s="8"/>
    </row>
    <row r="257" spans="1:5" x14ac:dyDescent="0.15">
      <c r="A257" s="144"/>
      <c r="B257" t="s">
        <v>86</v>
      </c>
      <c r="C257" s="240">
        <v>577.77800000000002</v>
      </c>
      <c r="D257" s="136"/>
      <c r="E257" s="8"/>
    </row>
    <row r="258" spans="1:5" x14ac:dyDescent="0.15">
      <c r="A258" s="144"/>
      <c r="B258" t="s">
        <v>303</v>
      </c>
      <c r="C258" s="240">
        <v>68.590999999999994</v>
      </c>
      <c r="D258" s="136"/>
      <c r="E258" s="8"/>
    </row>
    <row r="259" spans="1:5" x14ac:dyDescent="0.15">
      <c r="A259" s="144"/>
      <c r="B259" t="s">
        <v>88</v>
      </c>
      <c r="C259" s="240">
        <v>15.92</v>
      </c>
      <c r="D259" s="136"/>
      <c r="E259" s="8"/>
    </row>
    <row r="260" spans="1:5" x14ac:dyDescent="0.15">
      <c r="A260" s="144"/>
      <c r="B260" t="s">
        <v>89</v>
      </c>
      <c r="C260" s="240">
        <v>17.208000000000002</v>
      </c>
      <c r="D260" s="136"/>
      <c r="E260" s="8"/>
    </row>
    <row r="261" spans="1:5" x14ac:dyDescent="0.15">
      <c r="A261" s="144"/>
      <c r="B261" t="s">
        <v>90</v>
      </c>
      <c r="C261" s="240">
        <v>15.75</v>
      </c>
      <c r="D261" s="136"/>
      <c r="E261" s="8"/>
    </row>
    <row r="262" spans="1:5" x14ac:dyDescent="0.15">
      <c r="A262" s="144"/>
      <c r="B262" t="s">
        <v>91</v>
      </c>
      <c r="C262" s="240">
        <v>11.5</v>
      </c>
      <c r="D262" s="136"/>
      <c r="E262" s="8"/>
    </row>
    <row r="263" spans="1:5" x14ac:dyDescent="0.15">
      <c r="A263" s="144"/>
      <c r="B263" t="s">
        <v>92</v>
      </c>
      <c r="C263" s="240">
        <v>17.5</v>
      </c>
      <c r="D263" s="136"/>
      <c r="E263" s="8"/>
    </row>
    <row r="264" spans="1:5" x14ac:dyDescent="0.15">
      <c r="A264" s="144"/>
      <c r="B264" t="s">
        <v>93</v>
      </c>
      <c r="C264" s="240">
        <v>16.650000000000002</v>
      </c>
      <c r="D264" s="136"/>
      <c r="E264" s="8"/>
    </row>
    <row r="265" spans="1:5" x14ac:dyDescent="0.15">
      <c r="A265" s="144"/>
      <c r="B265" t="s">
        <v>272</v>
      </c>
      <c r="C265" s="240">
        <v>13.799999999999999</v>
      </c>
      <c r="D265" s="136"/>
      <c r="E265" s="8"/>
    </row>
    <row r="266" spans="1:5" x14ac:dyDescent="0.15">
      <c r="A266" s="144"/>
      <c r="B266" t="s">
        <v>273</v>
      </c>
      <c r="C266" s="240">
        <v>290.2180788336708</v>
      </c>
      <c r="D266" s="136"/>
      <c r="E266" s="8"/>
    </row>
    <row r="267" spans="1:5" x14ac:dyDescent="0.15">
      <c r="A267" s="144"/>
      <c r="B267" t="s">
        <v>274</v>
      </c>
      <c r="C267" s="240">
        <v>10.177</v>
      </c>
      <c r="D267" s="136"/>
      <c r="E267" s="8"/>
    </row>
    <row r="268" spans="1:5" x14ac:dyDescent="0.15">
      <c r="A268" s="144"/>
      <c r="B268" t="s">
        <v>275</v>
      </c>
      <c r="C268" s="240">
        <v>29.614999999999998</v>
      </c>
      <c r="D268" s="136"/>
      <c r="E268" s="8"/>
    </row>
    <row r="269" spans="1:5" x14ac:dyDescent="0.15">
      <c r="A269" s="144"/>
      <c r="B269" s="1" t="s">
        <v>309</v>
      </c>
      <c r="C269" s="240">
        <v>16.315999999999999</v>
      </c>
      <c r="D269" s="136"/>
      <c r="E269" s="8"/>
    </row>
    <row r="270" spans="1:5" x14ac:dyDescent="0.15">
      <c r="A270" s="144"/>
      <c r="B270" s="1" t="s">
        <v>283</v>
      </c>
      <c r="C270" s="88">
        <f>MAX(0,C194-(C251-C175))</f>
        <v>0</v>
      </c>
      <c r="D270" s="136"/>
      <c r="E270" s="8"/>
    </row>
    <row r="271" spans="1:5" x14ac:dyDescent="0.15">
      <c r="A271" s="144"/>
      <c r="B271" s="1" t="s">
        <v>284</v>
      </c>
      <c r="C271" s="88">
        <f t="shared" ref="C271:C278" si="5">MAX(0,C195-(C252-C176))</f>
        <v>782.85294060894012</v>
      </c>
      <c r="D271" s="136"/>
      <c r="E271" s="8"/>
    </row>
    <row r="272" spans="1:5" x14ac:dyDescent="0.15">
      <c r="A272" s="144"/>
      <c r="B272" t="s">
        <v>285</v>
      </c>
      <c r="C272" s="88">
        <f t="shared" si="5"/>
        <v>2453.9643469372882</v>
      </c>
      <c r="D272" s="136"/>
      <c r="E272" s="8"/>
    </row>
    <row r="273" spans="1:5" x14ac:dyDescent="0.15">
      <c r="A273" s="144"/>
      <c r="B273" t="s">
        <v>286</v>
      </c>
      <c r="C273" s="88">
        <f t="shared" si="5"/>
        <v>279.54267766617647</v>
      </c>
      <c r="D273" s="136"/>
      <c r="E273" s="8"/>
    </row>
    <row r="274" spans="1:5" x14ac:dyDescent="0.15">
      <c r="A274" s="144"/>
      <c r="B274" t="s">
        <v>287</v>
      </c>
      <c r="C274" s="88">
        <f t="shared" si="5"/>
        <v>123.51113358477438</v>
      </c>
      <c r="D274" s="136"/>
      <c r="E274" s="8"/>
    </row>
    <row r="275" spans="1:5" x14ac:dyDescent="0.15">
      <c r="A275" s="144"/>
      <c r="B275" t="s">
        <v>288</v>
      </c>
      <c r="C275" s="88">
        <f t="shared" si="5"/>
        <v>721.69016179301707</v>
      </c>
      <c r="D275" s="136"/>
      <c r="E275" s="8"/>
    </row>
    <row r="276" spans="1:5" x14ac:dyDescent="0.15">
      <c r="A276" s="144"/>
      <c r="B276" t="s">
        <v>289</v>
      </c>
      <c r="C276" s="88">
        <f t="shared" si="5"/>
        <v>626.83939075425235</v>
      </c>
      <c r="D276" s="136"/>
      <c r="E276" s="8"/>
    </row>
    <row r="277" spans="1:5" x14ac:dyDescent="0.15">
      <c r="A277" s="144"/>
      <c r="B277" t="s">
        <v>306</v>
      </c>
      <c r="C277" s="88">
        <f t="shared" si="5"/>
        <v>185.63266726107773</v>
      </c>
      <c r="D277" s="136"/>
      <c r="E277" s="8"/>
    </row>
    <row r="278" spans="1:5" x14ac:dyDescent="0.15">
      <c r="A278" s="144"/>
      <c r="B278" t="s">
        <v>290</v>
      </c>
      <c r="C278" s="88">
        <f t="shared" si="5"/>
        <v>161.02058526656404</v>
      </c>
      <c r="D278" s="136"/>
      <c r="E278" s="8"/>
    </row>
    <row r="279" spans="1:5" x14ac:dyDescent="0.15">
      <c r="A279" s="144"/>
      <c r="B279" t="s">
        <v>291</v>
      </c>
      <c r="C279" s="88">
        <f t="shared" ref="C279:C288" si="6">MAX(0,C208-(C260-C184))</f>
        <v>0</v>
      </c>
      <c r="D279" s="136"/>
      <c r="E279" s="8"/>
    </row>
    <row r="280" spans="1:5" x14ac:dyDescent="0.15">
      <c r="A280" s="144"/>
      <c r="B280" t="s">
        <v>293</v>
      </c>
      <c r="C280" s="88">
        <f t="shared" si="6"/>
        <v>1341.282375000289</v>
      </c>
      <c r="D280" s="136"/>
      <c r="E280" s="8"/>
    </row>
    <row r="281" spans="1:5" x14ac:dyDescent="0.15">
      <c r="A281" s="144"/>
      <c r="B281" t="s">
        <v>292</v>
      </c>
      <c r="C281" s="88">
        <f t="shared" si="6"/>
        <v>176.22085985828772</v>
      </c>
      <c r="D281" s="136"/>
      <c r="E281" s="8"/>
    </row>
    <row r="282" spans="1:5" x14ac:dyDescent="0.15">
      <c r="A282" s="144"/>
      <c r="B282" t="s">
        <v>294</v>
      </c>
      <c r="C282" s="88">
        <f t="shared" si="6"/>
        <v>121.7150465976313</v>
      </c>
      <c r="D282" s="136"/>
      <c r="E282" s="8"/>
    </row>
    <row r="283" spans="1:5" x14ac:dyDescent="0.15">
      <c r="A283" s="144"/>
      <c r="B283" t="s">
        <v>295</v>
      </c>
      <c r="C283" s="88">
        <f t="shared" si="6"/>
        <v>425.97869285703655</v>
      </c>
      <c r="D283" s="136"/>
      <c r="E283" s="8"/>
    </row>
    <row r="284" spans="1:5" x14ac:dyDescent="0.15">
      <c r="A284" s="144"/>
      <c r="B284" t="s">
        <v>296</v>
      </c>
      <c r="C284" s="88">
        <f t="shared" si="6"/>
        <v>70.253</v>
      </c>
      <c r="D284" s="136"/>
      <c r="E284" s="8"/>
    </row>
    <row r="285" spans="1:5" x14ac:dyDescent="0.15">
      <c r="A285" s="144"/>
      <c r="B285" t="s">
        <v>297</v>
      </c>
      <c r="C285" s="88">
        <f t="shared" si="6"/>
        <v>0</v>
      </c>
      <c r="D285" s="136"/>
      <c r="E285" s="8"/>
    </row>
    <row r="286" spans="1:5" x14ac:dyDescent="0.15">
      <c r="A286" s="144"/>
      <c r="B286" t="s">
        <v>298</v>
      </c>
      <c r="C286" s="88">
        <f t="shared" si="6"/>
        <v>18.101999999999997</v>
      </c>
      <c r="D286" s="136"/>
      <c r="E286" s="8"/>
    </row>
    <row r="287" spans="1:5" x14ac:dyDescent="0.15">
      <c r="A287" s="144"/>
      <c r="B287" t="s">
        <v>299</v>
      </c>
      <c r="C287" s="88">
        <f t="shared" si="6"/>
        <v>15.677</v>
      </c>
      <c r="D287" s="136"/>
      <c r="E287" s="8"/>
    </row>
    <row r="288" spans="1:5" x14ac:dyDescent="0.15">
      <c r="A288" s="171"/>
      <c r="B288" s="16" t="s">
        <v>311</v>
      </c>
      <c r="C288" s="116">
        <f t="shared" si="6"/>
        <v>16.397000000000002</v>
      </c>
      <c r="D288" s="136"/>
      <c r="E288" s="8"/>
    </row>
    <row r="289" spans="1:5" x14ac:dyDescent="0.15">
      <c r="A289" s="59" t="s">
        <v>365</v>
      </c>
      <c r="B289" s="1" t="s">
        <v>82</v>
      </c>
      <c r="C289" s="240">
        <v>6.9980000000000002</v>
      </c>
      <c r="D289" s="136"/>
      <c r="E289" s="8"/>
    </row>
    <row r="290" spans="1:5" x14ac:dyDescent="0.15">
      <c r="A290" s="59"/>
      <c r="B290" s="1" t="s">
        <v>83</v>
      </c>
      <c r="C290" s="240">
        <v>0.41399999999999998</v>
      </c>
      <c r="D290" s="136"/>
      <c r="E290" s="8"/>
    </row>
    <row r="291" spans="1:5" x14ac:dyDescent="0.15">
      <c r="A291" s="59"/>
      <c r="B291" t="s">
        <v>132</v>
      </c>
      <c r="C291" s="240">
        <v>13.816000000000001</v>
      </c>
      <c r="D291" s="136"/>
      <c r="E291" s="8"/>
    </row>
    <row r="292" spans="1:5" x14ac:dyDescent="0.15">
      <c r="A292" s="59"/>
      <c r="B292" t="s">
        <v>131</v>
      </c>
      <c r="C292" s="240">
        <v>11.6</v>
      </c>
      <c r="D292" s="136"/>
      <c r="E292" s="8"/>
    </row>
    <row r="293" spans="1:5" x14ac:dyDescent="0.15">
      <c r="A293" s="59"/>
      <c r="B293" t="s">
        <v>84</v>
      </c>
      <c r="C293" s="240">
        <v>14.200000000000001</v>
      </c>
      <c r="D293" s="136"/>
      <c r="E293" s="8"/>
    </row>
    <row r="294" spans="1:5" x14ac:dyDescent="0.15">
      <c r="A294" s="59"/>
      <c r="B294" t="s">
        <v>85</v>
      </c>
      <c r="C294" s="240">
        <v>10.1</v>
      </c>
      <c r="D294" s="136"/>
      <c r="E294" s="8"/>
    </row>
    <row r="295" spans="1:5" x14ac:dyDescent="0.15">
      <c r="A295" s="59"/>
      <c r="B295" t="s">
        <v>86</v>
      </c>
      <c r="C295" s="240">
        <v>28.186</v>
      </c>
      <c r="D295" s="136"/>
      <c r="E295" s="8"/>
    </row>
    <row r="296" spans="1:5" x14ac:dyDescent="0.15">
      <c r="A296" s="59"/>
      <c r="B296" t="s">
        <v>303</v>
      </c>
      <c r="C296" s="240">
        <v>35.981000000000002</v>
      </c>
      <c r="D296" s="136"/>
      <c r="E296" s="8"/>
    </row>
    <row r="297" spans="1:5" x14ac:dyDescent="0.15">
      <c r="A297" s="59"/>
      <c r="B297" t="s">
        <v>88</v>
      </c>
      <c r="C297" s="240">
        <v>0.62</v>
      </c>
      <c r="D297" s="136"/>
      <c r="E297" s="8"/>
    </row>
    <row r="298" spans="1:5" x14ac:dyDescent="0.15">
      <c r="A298" s="59"/>
      <c r="B298" t="s">
        <v>89</v>
      </c>
      <c r="C298" s="240">
        <v>0.2</v>
      </c>
      <c r="D298" s="136"/>
      <c r="E298" s="8"/>
    </row>
    <row r="299" spans="1:5" x14ac:dyDescent="0.15">
      <c r="A299" s="59"/>
      <c r="B299" t="s">
        <v>90</v>
      </c>
      <c r="C299" s="240">
        <v>0.75</v>
      </c>
      <c r="D299" s="136"/>
      <c r="E299" s="8"/>
    </row>
    <row r="300" spans="1:5" x14ac:dyDescent="0.15">
      <c r="A300" s="59"/>
      <c r="B300" t="s">
        <v>91</v>
      </c>
      <c r="C300" s="240">
        <v>1</v>
      </c>
      <c r="D300" s="136"/>
      <c r="E300" s="8"/>
    </row>
    <row r="301" spans="1:5" x14ac:dyDescent="0.15">
      <c r="A301" s="59"/>
      <c r="B301" t="s">
        <v>92</v>
      </c>
      <c r="C301" s="240">
        <v>2.5</v>
      </c>
      <c r="D301" s="136"/>
      <c r="E301" s="8"/>
    </row>
    <row r="302" spans="1:5" x14ac:dyDescent="0.15">
      <c r="A302" s="59"/>
      <c r="B302" t="s">
        <v>93</v>
      </c>
      <c r="C302" s="240">
        <v>0.35</v>
      </c>
      <c r="D302" s="136"/>
      <c r="E302" s="8"/>
    </row>
    <row r="303" spans="1:5" x14ac:dyDescent="0.15">
      <c r="A303" s="59"/>
      <c r="B303" t="s">
        <v>272</v>
      </c>
      <c r="C303" s="240">
        <v>0</v>
      </c>
      <c r="D303" s="136"/>
      <c r="E303" s="8"/>
    </row>
    <row r="304" spans="1:5" x14ac:dyDescent="0.15">
      <c r="A304" s="59"/>
      <c r="B304" t="s">
        <v>273</v>
      </c>
      <c r="C304" s="240">
        <v>17</v>
      </c>
      <c r="D304" s="136"/>
      <c r="E304" s="8"/>
    </row>
    <row r="305" spans="1:5" x14ac:dyDescent="0.15">
      <c r="A305" s="59"/>
      <c r="B305" t="s">
        <v>274</v>
      </c>
      <c r="C305" s="240">
        <v>4.1770000000000005</v>
      </c>
      <c r="D305" s="136"/>
      <c r="E305" s="8"/>
    </row>
    <row r="306" spans="1:5" x14ac:dyDescent="0.15">
      <c r="A306" s="59"/>
      <c r="B306" t="s">
        <v>275</v>
      </c>
      <c r="C306" s="240">
        <v>22.091999999999999</v>
      </c>
      <c r="D306" s="136"/>
      <c r="E306" s="8"/>
    </row>
    <row r="307" spans="1:5" x14ac:dyDescent="0.15">
      <c r="A307" s="59"/>
      <c r="B307" s="1" t="s">
        <v>309</v>
      </c>
      <c r="C307" s="240">
        <v>12.652999999999999</v>
      </c>
      <c r="D307" s="136"/>
      <c r="E307" s="8"/>
    </row>
    <row r="308" spans="1:5" x14ac:dyDescent="0.15">
      <c r="A308" s="59"/>
      <c r="B308" s="1" t="s">
        <v>283</v>
      </c>
      <c r="C308" s="88">
        <v>194.48342288122927</v>
      </c>
      <c r="D308" s="136"/>
      <c r="E308" s="8"/>
    </row>
    <row r="309" spans="1:5" x14ac:dyDescent="0.15">
      <c r="A309" s="59"/>
      <c r="B309" s="1" t="s">
        <v>284</v>
      </c>
      <c r="C309" s="88">
        <v>1491.1488312106894</v>
      </c>
      <c r="D309" s="136"/>
      <c r="E309" s="8"/>
    </row>
    <row r="310" spans="1:5" x14ac:dyDescent="0.15">
      <c r="A310" s="59"/>
      <c r="B310" t="s">
        <v>285</v>
      </c>
      <c r="C310" s="88">
        <v>3500.8506034311758</v>
      </c>
      <c r="D310" s="136"/>
      <c r="E310" s="8"/>
    </row>
    <row r="311" spans="1:5" x14ac:dyDescent="0.15">
      <c r="A311" s="59"/>
      <c r="B311" t="s">
        <v>286</v>
      </c>
      <c r="C311" s="88">
        <v>430.72614012031772</v>
      </c>
      <c r="D311" s="136"/>
      <c r="E311" s="8"/>
    </row>
    <row r="312" spans="1:5" x14ac:dyDescent="0.15">
      <c r="A312" s="59"/>
      <c r="B312" t="s">
        <v>287</v>
      </c>
      <c r="C312" s="88">
        <v>182.64934636717311</v>
      </c>
      <c r="D312" s="136"/>
      <c r="E312" s="8"/>
    </row>
    <row r="313" spans="1:5" x14ac:dyDescent="0.15">
      <c r="A313" s="59"/>
      <c r="B313" t="s">
        <v>288</v>
      </c>
      <c r="C313" s="88">
        <v>1062.8500089119311</v>
      </c>
      <c r="D313" s="136"/>
      <c r="E313" s="8"/>
    </row>
    <row r="314" spans="1:5" x14ac:dyDescent="0.15">
      <c r="A314" s="59"/>
      <c r="B314" t="s">
        <v>289</v>
      </c>
      <c r="C314" s="88">
        <v>1628.7341887602286</v>
      </c>
      <c r="D314" s="136"/>
      <c r="E314" s="8"/>
    </row>
    <row r="315" spans="1:5" x14ac:dyDescent="0.15">
      <c r="A315" s="59"/>
      <c r="B315" t="s">
        <v>306</v>
      </c>
      <c r="C315" s="88">
        <v>308.12036209409558</v>
      </c>
      <c r="D315" s="136"/>
      <c r="E315" s="8"/>
    </row>
    <row r="316" spans="1:5" x14ac:dyDescent="0.15">
      <c r="A316" s="59"/>
      <c r="B316" t="s">
        <v>290</v>
      </c>
      <c r="C316" s="88">
        <v>244.11059383730398</v>
      </c>
      <c r="D316" s="136"/>
      <c r="E316" s="8"/>
    </row>
    <row r="317" spans="1:5" x14ac:dyDescent="0.15">
      <c r="A317" s="59"/>
      <c r="B317" t="s">
        <v>291</v>
      </c>
      <c r="C317" s="88">
        <v>254.72322413405675</v>
      </c>
      <c r="D317" s="136"/>
      <c r="E317" s="8"/>
    </row>
    <row r="318" spans="1:5" x14ac:dyDescent="0.15">
      <c r="A318" s="59"/>
      <c r="B318" t="s">
        <v>293</v>
      </c>
      <c r="C318" s="88">
        <v>44.173597989686456</v>
      </c>
      <c r="D318" s="136"/>
      <c r="E318" s="8"/>
    </row>
    <row r="319" spans="1:5" x14ac:dyDescent="0.15">
      <c r="A319" s="59"/>
      <c r="B319" t="s">
        <v>292</v>
      </c>
      <c r="C319" s="88">
        <v>73.375401572645458</v>
      </c>
      <c r="D319" s="136"/>
      <c r="E319" s="8"/>
    </row>
    <row r="320" spans="1:5" x14ac:dyDescent="0.15">
      <c r="A320" s="59"/>
      <c r="B320" t="s">
        <v>294</v>
      </c>
      <c r="C320" s="88">
        <v>106.57172820561341</v>
      </c>
      <c r="D320" s="136"/>
      <c r="E320" s="8"/>
    </row>
    <row r="321" spans="1:5" x14ac:dyDescent="0.15">
      <c r="A321" s="59"/>
      <c r="B321" t="s">
        <v>295</v>
      </c>
      <c r="C321" s="88">
        <v>31.720558941955975</v>
      </c>
      <c r="D321" s="136"/>
      <c r="E321" s="8"/>
    </row>
    <row r="322" spans="1:5" x14ac:dyDescent="0.15">
      <c r="A322" s="59"/>
      <c r="B322" t="s">
        <v>296</v>
      </c>
      <c r="C322" s="88">
        <v>8.7921675769631058</v>
      </c>
      <c r="D322" s="136"/>
      <c r="E322" s="8"/>
    </row>
    <row r="323" spans="1:5" x14ac:dyDescent="0.15">
      <c r="A323" s="59"/>
      <c r="B323" t="s">
        <v>297</v>
      </c>
      <c r="C323" s="88">
        <v>1877.7325147364591</v>
      </c>
      <c r="D323" s="136"/>
      <c r="E323" s="8"/>
    </row>
    <row r="324" spans="1:5" x14ac:dyDescent="0.15">
      <c r="A324" s="59"/>
      <c r="B324" t="s">
        <v>298</v>
      </c>
      <c r="C324" s="88">
        <v>263.61709958956811</v>
      </c>
      <c r="D324" s="136"/>
      <c r="E324" s="8"/>
    </row>
    <row r="325" spans="1:5" x14ac:dyDescent="0.15">
      <c r="A325" s="59"/>
      <c r="B325" t="s">
        <v>299</v>
      </c>
      <c r="C325" s="88">
        <v>189.27790626935467</v>
      </c>
      <c r="D325" s="136"/>
      <c r="E325" s="8"/>
    </row>
    <row r="326" spans="1:5" ht="12" thickBot="1" x14ac:dyDescent="0.2">
      <c r="A326" s="63"/>
      <c r="B326" s="16" t="s">
        <v>311</v>
      </c>
      <c r="C326" s="116">
        <v>612.32166506080296</v>
      </c>
      <c r="D326" s="136"/>
      <c r="E326" s="8"/>
    </row>
    <row r="327" spans="1:5" x14ac:dyDescent="0.15">
      <c r="A327" s="59" t="s">
        <v>366</v>
      </c>
      <c r="B327" s="1" t="s">
        <v>82</v>
      </c>
      <c r="C327" s="240">
        <v>84.052999999999997</v>
      </c>
      <c r="D327" s="136"/>
      <c r="E327" s="8"/>
    </row>
    <row r="328" spans="1:5" x14ac:dyDescent="0.15">
      <c r="A328" s="59"/>
      <c r="B328" s="1" t="s">
        <v>83</v>
      </c>
      <c r="C328" s="240">
        <v>19.564</v>
      </c>
      <c r="D328" s="136"/>
      <c r="E328" s="8"/>
    </row>
    <row r="329" spans="1:5" x14ac:dyDescent="0.15">
      <c r="A329" s="59"/>
      <c r="B329" t="s">
        <v>132</v>
      </c>
      <c r="C329" s="240">
        <v>24.101999999999997</v>
      </c>
      <c r="D329" s="136"/>
      <c r="E329" s="8"/>
    </row>
    <row r="330" spans="1:5" x14ac:dyDescent="0.15">
      <c r="A330" s="59"/>
      <c r="B330" t="s">
        <v>131</v>
      </c>
      <c r="C330" s="240">
        <v>23.2</v>
      </c>
      <c r="D330" s="136"/>
      <c r="E330" s="8"/>
    </row>
    <row r="331" spans="1:5" x14ac:dyDescent="0.15">
      <c r="A331" s="59"/>
      <c r="B331" t="s">
        <v>84</v>
      </c>
      <c r="C331" s="240">
        <v>20.060000000000002</v>
      </c>
      <c r="D331" s="136"/>
      <c r="E331" s="8"/>
    </row>
    <row r="332" spans="1:5" x14ac:dyDescent="0.15">
      <c r="A332" s="59"/>
      <c r="B332" t="s">
        <v>85</v>
      </c>
      <c r="C332" s="240">
        <v>16.23</v>
      </c>
      <c r="D332" s="136"/>
      <c r="E332" s="8"/>
    </row>
    <row r="333" spans="1:5" x14ac:dyDescent="0.15">
      <c r="A333" s="59"/>
      <c r="B333" t="s">
        <v>86</v>
      </c>
      <c r="C333" s="240">
        <v>133.97800000000001</v>
      </c>
      <c r="D333" s="136"/>
      <c r="E333" s="8"/>
    </row>
    <row r="334" spans="1:5" x14ac:dyDescent="0.15">
      <c r="A334" s="59"/>
      <c r="B334" t="s">
        <v>303</v>
      </c>
      <c r="C334" s="240">
        <v>43.591000000000001</v>
      </c>
      <c r="D334" s="136"/>
      <c r="E334" s="8"/>
    </row>
    <row r="335" spans="1:5" x14ac:dyDescent="0.15">
      <c r="A335" s="59"/>
      <c r="B335" t="s">
        <v>88</v>
      </c>
      <c r="C335" s="240">
        <v>0.92</v>
      </c>
      <c r="D335" s="136"/>
      <c r="E335" s="8"/>
    </row>
    <row r="336" spans="1:5" x14ac:dyDescent="0.15">
      <c r="A336" s="59"/>
      <c r="B336" t="s">
        <v>89</v>
      </c>
      <c r="C336" s="240">
        <v>7.2080000000000002</v>
      </c>
      <c r="D336" s="136"/>
      <c r="E336" s="8"/>
    </row>
    <row r="337" spans="1:5" x14ac:dyDescent="0.15">
      <c r="A337" s="59"/>
      <c r="B337" t="s">
        <v>90</v>
      </c>
      <c r="C337" s="240">
        <v>5.75</v>
      </c>
      <c r="D337" s="136"/>
      <c r="E337" s="8"/>
    </row>
    <row r="338" spans="1:5" x14ac:dyDescent="0.15">
      <c r="A338" s="59"/>
      <c r="B338" t="s">
        <v>91</v>
      </c>
      <c r="C338" s="240">
        <v>1.5</v>
      </c>
      <c r="D338" s="136"/>
      <c r="E338" s="8"/>
    </row>
    <row r="339" spans="1:5" x14ac:dyDescent="0.15">
      <c r="A339" s="59"/>
      <c r="B339" t="s">
        <v>92</v>
      </c>
      <c r="C339" s="240">
        <v>7.5</v>
      </c>
      <c r="D339" s="136"/>
      <c r="E339" s="8"/>
    </row>
    <row r="340" spans="1:5" x14ac:dyDescent="0.15">
      <c r="A340" s="59"/>
      <c r="B340" t="s">
        <v>93</v>
      </c>
      <c r="C340" s="240">
        <v>6.6499999999999995</v>
      </c>
      <c r="D340" s="136"/>
      <c r="E340" s="8"/>
    </row>
    <row r="341" spans="1:5" x14ac:dyDescent="0.15">
      <c r="A341" s="59"/>
      <c r="B341" t="s">
        <v>272</v>
      </c>
      <c r="C341" s="240">
        <v>13.799999999999999</v>
      </c>
      <c r="D341" s="136"/>
      <c r="E341" s="8"/>
    </row>
    <row r="342" spans="1:5" x14ac:dyDescent="0.15">
      <c r="A342" s="59"/>
      <c r="B342" t="s">
        <v>273</v>
      </c>
      <c r="C342" s="240">
        <v>54.625</v>
      </c>
      <c r="D342" s="136"/>
      <c r="E342" s="8"/>
    </row>
    <row r="343" spans="1:5" x14ac:dyDescent="0.15">
      <c r="A343" s="59"/>
      <c r="B343" t="s">
        <v>274</v>
      </c>
      <c r="C343" s="240">
        <v>10.177</v>
      </c>
      <c r="D343" s="136"/>
      <c r="E343" s="8"/>
    </row>
    <row r="344" spans="1:5" x14ac:dyDescent="0.15">
      <c r="A344" s="59"/>
      <c r="B344" t="s">
        <v>275</v>
      </c>
      <c r="C344" s="240">
        <v>29.614999999999998</v>
      </c>
      <c r="D344" s="136"/>
      <c r="E344" s="8"/>
    </row>
    <row r="345" spans="1:5" x14ac:dyDescent="0.15">
      <c r="A345" s="59"/>
      <c r="B345" s="1" t="s">
        <v>309</v>
      </c>
      <c r="C345" s="240">
        <v>16.315999999999999</v>
      </c>
      <c r="D345" s="136"/>
      <c r="E345" s="8"/>
    </row>
    <row r="346" spans="1:5" x14ac:dyDescent="0.15">
      <c r="A346" s="59"/>
      <c r="B346" s="1" t="s">
        <v>283</v>
      </c>
      <c r="C346" s="88">
        <f>MAX(0,C308-(C327-C289))</f>
        <v>117.42842288122928</v>
      </c>
      <c r="D346" s="136"/>
      <c r="E346" s="8"/>
    </row>
    <row r="347" spans="1:5" x14ac:dyDescent="0.15">
      <c r="A347" s="59"/>
      <c r="B347" s="1" t="s">
        <v>284</v>
      </c>
      <c r="C347" s="88">
        <f t="shared" ref="C347:C364" si="7">MAX(0,C309-(C328-C290))</f>
        <v>1471.9988312106893</v>
      </c>
      <c r="D347" s="136"/>
      <c r="E347" s="8"/>
    </row>
    <row r="348" spans="1:5" x14ac:dyDescent="0.15">
      <c r="A348" s="59"/>
      <c r="B348" t="s">
        <v>285</v>
      </c>
      <c r="C348" s="88">
        <f>MAX(0,C310-(C329-C291))</f>
        <v>3490.5646034311758</v>
      </c>
      <c r="D348" s="136"/>
      <c r="E348" s="8"/>
    </row>
    <row r="349" spans="1:5" x14ac:dyDescent="0.15">
      <c r="A349" s="59"/>
      <c r="B349" t="s">
        <v>286</v>
      </c>
      <c r="C349" s="88">
        <f t="shared" si="7"/>
        <v>419.1261401203177</v>
      </c>
      <c r="D349" s="136"/>
      <c r="E349" s="8"/>
    </row>
    <row r="350" spans="1:5" x14ac:dyDescent="0.15">
      <c r="A350" s="59"/>
      <c r="B350" t="s">
        <v>287</v>
      </c>
      <c r="C350" s="88">
        <f t="shared" si="7"/>
        <v>176.7893463671731</v>
      </c>
      <c r="D350" s="136"/>
      <c r="E350" s="8"/>
    </row>
    <row r="351" spans="1:5" x14ac:dyDescent="0.15">
      <c r="A351" s="59"/>
      <c r="B351" t="s">
        <v>288</v>
      </c>
      <c r="C351" s="88">
        <f t="shared" si="7"/>
        <v>1056.720008911931</v>
      </c>
      <c r="D351" s="136"/>
      <c r="E351" s="8"/>
    </row>
    <row r="352" spans="1:5" x14ac:dyDescent="0.15">
      <c r="A352" s="59"/>
      <c r="B352" t="s">
        <v>289</v>
      </c>
      <c r="C352" s="88">
        <f t="shared" si="7"/>
        <v>1522.9421887602286</v>
      </c>
      <c r="D352" s="136"/>
      <c r="E352" s="8"/>
    </row>
    <row r="353" spans="1:5" x14ac:dyDescent="0.15">
      <c r="A353" s="59"/>
      <c r="B353" t="s">
        <v>306</v>
      </c>
      <c r="C353" s="88">
        <f t="shared" si="7"/>
        <v>300.51036209409557</v>
      </c>
      <c r="D353" s="136"/>
      <c r="E353" s="8"/>
    </row>
    <row r="354" spans="1:5" x14ac:dyDescent="0.15">
      <c r="A354" s="59"/>
      <c r="B354" t="s">
        <v>290</v>
      </c>
      <c r="C354" s="88">
        <f t="shared" si="7"/>
        <v>243.81059383730397</v>
      </c>
      <c r="D354" s="136"/>
      <c r="E354" s="8"/>
    </row>
    <row r="355" spans="1:5" x14ac:dyDescent="0.15">
      <c r="A355" s="59"/>
      <c r="B355" t="s">
        <v>291</v>
      </c>
      <c r="C355" s="88">
        <f t="shared" si="7"/>
        <v>247.71522413405674</v>
      </c>
      <c r="D355" s="136"/>
      <c r="E355" s="8"/>
    </row>
    <row r="356" spans="1:5" x14ac:dyDescent="0.15">
      <c r="A356" s="59"/>
      <c r="B356" t="s">
        <v>293</v>
      </c>
      <c r="C356" s="88">
        <f t="shared" si="7"/>
        <v>39.173597989686456</v>
      </c>
      <c r="D356" s="136"/>
      <c r="E356" s="8"/>
    </row>
    <row r="357" spans="1:5" x14ac:dyDescent="0.15">
      <c r="A357" s="59"/>
      <c r="B357" t="s">
        <v>292</v>
      </c>
      <c r="C357" s="88">
        <f t="shared" si="7"/>
        <v>72.875401572645458</v>
      </c>
      <c r="D357" s="136"/>
      <c r="E357" s="8"/>
    </row>
    <row r="358" spans="1:5" x14ac:dyDescent="0.15">
      <c r="A358" s="59"/>
      <c r="B358" t="s">
        <v>294</v>
      </c>
      <c r="C358" s="88">
        <f t="shared" si="7"/>
        <v>101.57172820561341</v>
      </c>
      <c r="D358" s="136"/>
      <c r="E358" s="8"/>
    </row>
    <row r="359" spans="1:5" x14ac:dyDescent="0.15">
      <c r="A359" s="59"/>
      <c r="B359" t="s">
        <v>295</v>
      </c>
      <c r="C359" s="88">
        <f t="shared" si="7"/>
        <v>25.420558941955974</v>
      </c>
      <c r="D359" s="136"/>
      <c r="E359" s="8"/>
    </row>
    <row r="360" spans="1:5" x14ac:dyDescent="0.15">
      <c r="A360" s="59"/>
      <c r="B360" t="s">
        <v>296</v>
      </c>
      <c r="C360" s="88">
        <f t="shared" si="7"/>
        <v>0</v>
      </c>
      <c r="D360" s="136"/>
      <c r="E360" s="8"/>
    </row>
    <row r="361" spans="1:5" x14ac:dyDescent="0.15">
      <c r="A361" s="59"/>
      <c r="B361" t="s">
        <v>297</v>
      </c>
      <c r="C361" s="88">
        <f t="shared" si="7"/>
        <v>1840.1075147364591</v>
      </c>
      <c r="D361" s="136"/>
      <c r="E361" s="8"/>
    </row>
    <row r="362" spans="1:5" x14ac:dyDescent="0.15">
      <c r="A362" s="59"/>
      <c r="B362" t="s">
        <v>298</v>
      </c>
      <c r="C362" s="88">
        <f t="shared" si="7"/>
        <v>257.61709958956811</v>
      </c>
      <c r="D362" s="136"/>
      <c r="E362" s="8"/>
    </row>
    <row r="363" spans="1:5" x14ac:dyDescent="0.15">
      <c r="A363" s="59"/>
      <c r="B363" t="s">
        <v>299</v>
      </c>
      <c r="C363" s="88">
        <f t="shared" si="7"/>
        <v>181.75490626935468</v>
      </c>
      <c r="D363" s="136"/>
      <c r="E363" s="8"/>
    </row>
    <row r="364" spans="1:5" ht="12" thickBot="1" x14ac:dyDescent="0.2">
      <c r="A364" s="63"/>
      <c r="B364" s="16" t="s">
        <v>311</v>
      </c>
      <c r="C364" s="116">
        <f t="shared" si="7"/>
        <v>608.65866506080295</v>
      </c>
      <c r="D364" s="136"/>
      <c r="E364" s="8"/>
    </row>
    <row r="365" spans="1:5" x14ac:dyDescent="0.15">
      <c r="A365" s="210" t="s">
        <v>433</v>
      </c>
      <c r="B365" s="1" t="s">
        <v>82</v>
      </c>
      <c r="C365" s="240">
        <v>6.9980000000000002</v>
      </c>
      <c r="D365" s="136"/>
      <c r="E365" s="8"/>
    </row>
    <row r="366" spans="1:5" x14ac:dyDescent="0.15">
      <c r="A366" s="210"/>
      <c r="B366" s="1" t="s">
        <v>83</v>
      </c>
      <c r="C366" s="240">
        <v>0.41399999999999998</v>
      </c>
      <c r="D366" s="136"/>
      <c r="E366" s="8"/>
    </row>
    <row r="367" spans="1:5" x14ac:dyDescent="0.15">
      <c r="A367" s="210"/>
      <c r="B367" t="s">
        <v>132</v>
      </c>
      <c r="C367" s="240">
        <v>13.816000000000001</v>
      </c>
      <c r="D367" s="136"/>
      <c r="E367" s="8"/>
    </row>
    <row r="368" spans="1:5" x14ac:dyDescent="0.15">
      <c r="A368" s="210"/>
      <c r="B368" t="s">
        <v>131</v>
      </c>
      <c r="C368" s="240">
        <v>11.6</v>
      </c>
      <c r="D368" s="136"/>
      <c r="E368" s="8"/>
    </row>
    <row r="369" spans="1:5" x14ac:dyDescent="0.15">
      <c r="A369" s="210"/>
      <c r="B369" t="s">
        <v>84</v>
      </c>
      <c r="C369" s="240">
        <v>14.200000000000001</v>
      </c>
      <c r="D369" s="136"/>
      <c r="E369" s="8"/>
    </row>
    <row r="370" spans="1:5" x14ac:dyDescent="0.15">
      <c r="A370" s="210"/>
      <c r="B370" t="s">
        <v>85</v>
      </c>
      <c r="C370" s="240">
        <v>10.1</v>
      </c>
      <c r="D370" s="136"/>
      <c r="E370" s="8"/>
    </row>
    <row r="371" spans="1:5" x14ac:dyDescent="0.15">
      <c r="A371" s="210"/>
      <c r="B371" t="s">
        <v>86</v>
      </c>
      <c r="C371" s="240">
        <v>28.186</v>
      </c>
      <c r="D371" s="136"/>
      <c r="E371" s="8"/>
    </row>
    <row r="372" spans="1:5" x14ac:dyDescent="0.15">
      <c r="A372" s="210"/>
      <c r="B372" t="s">
        <v>303</v>
      </c>
      <c r="C372" s="240">
        <v>35.981000000000002</v>
      </c>
      <c r="D372" s="136"/>
      <c r="E372" s="8"/>
    </row>
    <row r="373" spans="1:5" x14ac:dyDescent="0.15">
      <c r="A373" s="210"/>
      <c r="B373" t="s">
        <v>88</v>
      </c>
      <c r="C373" s="240">
        <v>0.62</v>
      </c>
      <c r="D373" s="136"/>
      <c r="E373" s="8"/>
    </row>
    <row r="374" spans="1:5" x14ac:dyDescent="0.15">
      <c r="A374" s="210"/>
      <c r="B374" t="s">
        <v>89</v>
      </c>
      <c r="C374" s="240">
        <v>0.2</v>
      </c>
      <c r="D374" s="136"/>
      <c r="E374" s="8"/>
    </row>
    <row r="375" spans="1:5" x14ac:dyDescent="0.15">
      <c r="A375" s="210"/>
      <c r="B375" t="s">
        <v>90</v>
      </c>
      <c r="C375" s="240">
        <v>0.75</v>
      </c>
      <c r="D375" s="136"/>
      <c r="E375" s="8"/>
    </row>
    <row r="376" spans="1:5" x14ac:dyDescent="0.15">
      <c r="A376" s="210"/>
      <c r="B376" t="s">
        <v>91</v>
      </c>
      <c r="C376" s="240">
        <v>1</v>
      </c>
      <c r="D376" s="136"/>
      <c r="E376" s="8"/>
    </row>
    <row r="377" spans="1:5" x14ac:dyDescent="0.15">
      <c r="A377" s="210"/>
      <c r="B377" t="s">
        <v>92</v>
      </c>
      <c r="C377" s="240">
        <v>2.5</v>
      </c>
      <c r="D377" s="136"/>
      <c r="E377" s="8"/>
    </row>
    <row r="378" spans="1:5" x14ac:dyDescent="0.15">
      <c r="A378" s="210"/>
      <c r="B378" t="s">
        <v>93</v>
      </c>
      <c r="C378" s="240">
        <v>0.35</v>
      </c>
      <c r="D378" s="136"/>
      <c r="E378" s="8"/>
    </row>
    <row r="379" spans="1:5" x14ac:dyDescent="0.15">
      <c r="A379" s="210"/>
      <c r="B379" t="s">
        <v>272</v>
      </c>
      <c r="C379" s="240">
        <v>0</v>
      </c>
      <c r="D379" s="136"/>
      <c r="E379" s="8"/>
    </row>
    <row r="380" spans="1:5" x14ac:dyDescent="0.15">
      <c r="A380" s="210"/>
      <c r="B380" t="s">
        <v>273</v>
      </c>
      <c r="C380" s="240">
        <v>17</v>
      </c>
      <c r="D380" s="136"/>
      <c r="E380" s="8"/>
    </row>
    <row r="381" spans="1:5" x14ac:dyDescent="0.15">
      <c r="A381" s="210"/>
      <c r="B381" t="s">
        <v>274</v>
      </c>
      <c r="C381" s="240">
        <v>4.1770000000000005</v>
      </c>
      <c r="D381" s="136"/>
      <c r="E381" s="8"/>
    </row>
    <row r="382" spans="1:5" x14ac:dyDescent="0.15">
      <c r="A382" s="210"/>
      <c r="B382" t="s">
        <v>275</v>
      </c>
      <c r="C382" s="240">
        <v>22.091999999999999</v>
      </c>
      <c r="D382" s="136"/>
      <c r="E382" s="8"/>
    </row>
    <row r="383" spans="1:5" x14ac:dyDescent="0.15">
      <c r="A383" s="210"/>
      <c r="B383" s="1" t="s">
        <v>309</v>
      </c>
      <c r="C383" s="240">
        <v>12.652999999999999</v>
      </c>
      <c r="D383" s="136"/>
      <c r="E383" s="8"/>
    </row>
    <row r="384" spans="1:5" x14ac:dyDescent="0.15">
      <c r="A384" s="210"/>
      <c r="B384" s="1" t="s">
        <v>283</v>
      </c>
      <c r="C384" s="88">
        <v>87.817000000000007</v>
      </c>
      <c r="D384" s="136"/>
      <c r="E384" s="8"/>
    </row>
    <row r="385" spans="1:5" x14ac:dyDescent="0.15">
      <c r="A385" s="210"/>
      <c r="B385" s="1" t="s">
        <v>284</v>
      </c>
      <c r="C385" s="88">
        <v>673.3130000000001</v>
      </c>
      <c r="D385" s="136"/>
      <c r="E385" s="8"/>
    </row>
    <row r="386" spans="1:5" x14ac:dyDescent="0.15">
      <c r="A386" s="210"/>
      <c r="B386" t="s">
        <v>285</v>
      </c>
      <c r="C386" s="88">
        <v>1826.444</v>
      </c>
      <c r="D386" s="136"/>
      <c r="E386" s="8"/>
    </row>
    <row r="387" spans="1:5" x14ac:dyDescent="0.15">
      <c r="A387" s="210"/>
      <c r="B387" t="s">
        <v>286</v>
      </c>
      <c r="C387" s="88">
        <v>270.19100000000003</v>
      </c>
      <c r="D387" s="136"/>
      <c r="E387" s="8"/>
    </row>
    <row r="388" spans="1:5" x14ac:dyDescent="0.15">
      <c r="A388" s="210"/>
      <c r="B388" t="s">
        <v>287</v>
      </c>
      <c r="C388" s="88">
        <v>91.633999999999986</v>
      </c>
      <c r="D388" s="136"/>
      <c r="E388" s="8"/>
    </row>
    <row r="389" spans="1:5" x14ac:dyDescent="0.15">
      <c r="A389" s="210"/>
      <c r="B389" t="s">
        <v>288</v>
      </c>
      <c r="C389" s="88">
        <v>533.22499999999991</v>
      </c>
      <c r="D389" s="136"/>
      <c r="E389" s="8"/>
    </row>
    <row r="390" spans="1:5" x14ac:dyDescent="0.15">
      <c r="A390" s="210"/>
      <c r="B390" t="s">
        <v>289</v>
      </c>
      <c r="C390" s="88">
        <v>849.73400000000004</v>
      </c>
      <c r="D390" s="136"/>
      <c r="E390" s="8"/>
    </row>
    <row r="391" spans="1:5" x14ac:dyDescent="0.15">
      <c r="A391" s="210"/>
      <c r="B391" t="s">
        <v>306</v>
      </c>
      <c r="C391" s="88">
        <v>154.58199999999999</v>
      </c>
      <c r="D391" s="136"/>
      <c r="E391" s="8"/>
    </row>
    <row r="392" spans="1:5" x14ac:dyDescent="0.15">
      <c r="A392" s="210"/>
      <c r="B392" t="s">
        <v>290</v>
      </c>
      <c r="C392" s="88">
        <v>127.35599999999999</v>
      </c>
      <c r="D392" s="136"/>
      <c r="E392" s="8"/>
    </row>
    <row r="393" spans="1:5" x14ac:dyDescent="0.15">
      <c r="A393" s="210"/>
      <c r="B393" t="s">
        <v>291</v>
      </c>
      <c r="C393" s="88">
        <v>127.79299999999999</v>
      </c>
      <c r="D393" s="136"/>
      <c r="E393" s="8"/>
    </row>
    <row r="394" spans="1:5" x14ac:dyDescent="0.15">
      <c r="A394" s="210"/>
      <c r="B394" t="s">
        <v>293</v>
      </c>
      <c r="C394" s="88">
        <v>23.045999999999999</v>
      </c>
      <c r="D394" s="136"/>
      <c r="E394" s="8"/>
    </row>
    <row r="395" spans="1:5" x14ac:dyDescent="0.15">
      <c r="A395" s="210"/>
      <c r="B395" t="s">
        <v>292</v>
      </c>
      <c r="C395" s="88">
        <v>38.281000000000006</v>
      </c>
      <c r="D395" s="136"/>
      <c r="E395" s="8"/>
    </row>
    <row r="396" spans="1:5" x14ac:dyDescent="0.15">
      <c r="A396" s="210"/>
      <c r="B396" t="s">
        <v>294</v>
      </c>
      <c r="C396" s="88">
        <v>55.599999999999994</v>
      </c>
      <c r="D396" s="136"/>
      <c r="E396" s="8"/>
    </row>
    <row r="397" spans="1:5" x14ac:dyDescent="0.15">
      <c r="A397" s="210"/>
      <c r="B397" t="s">
        <v>295</v>
      </c>
      <c r="C397" s="88">
        <v>15.914000000000001</v>
      </c>
      <c r="D397" s="136"/>
      <c r="E397" s="8"/>
    </row>
    <row r="398" spans="1:5" x14ac:dyDescent="0.15">
      <c r="A398" s="210"/>
      <c r="B398" t="s">
        <v>296</v>
      </c>
      <c r="C398" s="88">
        <v>4.5869999999999997</v>
      </c>
      <c r="D398" s="136"/>
      <c r="E398" s="8"/>
    </row>
    <row r="399" spans="1:5" x14ac:dyDescent="0.15">
      <c r="A399" s="210"/>
      <c r="B399" t="s">
        <v>297</v>
      </c>
      <c r="C399" s="88">
        <v>979.64</v>
      </c>
      <c r="D399" s="136"/>
      <c r="E399" s="8"/>
    </row>
    <row r="400" spans="1:5" x14ac:dyDescent="0.15">
      <c r="A400" s="210"/>
      <c r="B400" t="s">
        <v>298</v>
      </c>
      <c r="C400" s="88">
        <v>132.25500000000002</v>
      </c>
      <c r="D400" s="136"/>
      <c r="E400" s="8"/>
    </row>
    <row r="401" spans="1:5" x14ac:dyDescent="0.15">
      <c r="A401" s="210"/>
      <c r="B401" t="s">
        <v>299</v>
      </c>
      <c r="C401" s="88">
        <v>98.749000000000009</v>
      </c>
      <c r="D401" s="136"/>
      <c r="E401" s="8"/>
    </row>
    <row r="402" spans="1:5" x14ac:dyDescent="0.15">
      <c r="A402" s="210"/>
      <c r="B402" s="1" t="s">
        <v>311</v>
      </c>
      <c r="C402" s="136">
        <v>319.45699999999999</v>
      </c>
      <c r="D402" s="136"/>
      <c r="E402" s="8"/>
    </row>
    <row r="403" spans="1:5" x14ac:dyDescent="0.15">
      <c r="A403" s="210"/>
      <c r="B403" s="211" t="s">
        <v>434</v>
      </c>
      <c r="C403" s="240">
        <v>0</v>
      </c>
      <c r="D403" s="136"/>
      <c r="E403" s="8"/>
    </row>
    <row r="404" spans="1:5" x14ac:dyDescent="0.15">
      <c r="A404" s="210"/>
      <c r="B404" s="211" t="s">
        <v>435</v>
      </c>
      <c r="C404" s="240">
        <v>0</v>
      </c>
      <c r="D404" s="136"/>
      <c r="E404" s="8"/>
    </row>
    <row r="405" spans="1:5" x14ac:dyDescent="0.15">
      <c r="A405" s="210"/>
      <c r="B405" s="210" t="s">
        <v>436</v>
      </c>
      <c r="C405" s="240">
        <v>0</v>
      </c>
      <c r="D405" s="136"/>
      <c r="E405" s="8"/>
    </row>
    <row r="406" spans="1:5" x14ac:dyDescent="0.15">
      <c r="A406" s="210"/>
      <c r="B406" s="210" t="s">
        <v>437</v>
      </c>
      <c r="C406" s="240">
        <v>0</v>
      </c>
      <c r="D406" s="136"/>
      <c r="E406" s="8"/>
    </row>
    <row r="407" spans="1:5" x14ac:dyDescent="0.15">
      <c r="A407" s="210"/>
      <c r="B407" s="210" t="s">
        <v>438</v>
      </c>
      <c r="C407" s="240">
        <v>0</v>
      </c>
      <c r="D407" s="136"/>
      <c r="E407" s="8"/>
    </row>
    <row r="408" spans="1:5" x14ac:dyDescent="0.15">
      <c r="A408" s="210"/>
      <c r="B408" s="210" t="s">
        <v>439</v>
      </c>
      <c r="C408" s="240">
        <v>0</v>
      </c>
      <c r="D408" s="136"/>
      <c r="E408" s="8"/>
    </row>
    <row r="409" spans="1:5" x14ac:dyDescent="0.15">
      <c r="A409" s="210"/>
      <c r="B409" s="210" t="s">
        <v>440</v>
      </c>
      <c r="C409" s="240">
        <v>0</v>
      </c>
      <c r="D409" s="136"/>
      <c r="E409" s="8"/>
    </row>
    <row r="410" spans="1:5" x14ac:dyDescent="0.15">
      <c r="A410" s="210"/>
      <c r="B410" s="210" t="s">
        <v>441</v>
      </c>
      <c r="C410" s="240">
        <v>0</v>
      </c>
      <c r="D410" s="136"/>
      <c r="E410" s="8"/>
    </row>
    <row r="411" spans="1:5" x14ac:dyDescent="0.15">
      <c r="A411" s="210"/>
      <c r="B411" s="210" t="s">
        <v>442</v>
      </c>
      <c r="C411" s="240">
        <v>0</v>
      </c>
      <c r="D411" s="136"/>
      <c r="E411" s="8"/>
    </row>
    <row r="412" spans="1:5" x14ac:dyDescent="0.15">
      <c r="A412" s="210"/>
      <c r="B412" s="210" t="s">
        <v>443</v>
      </c>
      <c r="C412" s="240">
        <v>0</v>
      </c>
      <c r="D412" s="136"/>
      <c r="E412" s="8"/>
    </row>
    <row r="413" spans="1:5" x14ac:dyDescent="0.15">
      <c r="A413" s="210"/>
      <c r="B413" s="210" t="s">
        <v>444</v>
      </c>
      <c r="C413" s="240">
        <v>0</v>
      </c>
      <c r="D413" s="136"/>
      <c r="E413" s="8"/>
    </row>
    <row r="414" spans="1:5" x14ac:dyDescent="0.15">
      <c r="A414" s="210"/>
      <c r="B414" s="210" t="s">
        <v>445</v>
      </c>
      <c r="C414" s="240">
        <v>0</v>
      </c>
      <c r="D414" s="136"/>
      <c r="E414" s="8"/>
    </row>
    <row r="415" spans="1:5" x14ac:dyDescent="0.15">
      <c r="A415" s="210"/>
      <c r="B415" s="210" t="s">
        <v>446</v>
      </c>
      <c r="C415" s="240">
        <v>0</v>
      </c>
      <c r="D415" s="136"/>
      <c r="E415" s="8"/>
    </row>
    <row r="416" spans="1:5" x14ac:dyDescent="0.15">
      <c r="A416" s="210"/>
      <c r="B416" s="210" t="s">
        <v>447</v>
      </c>
      <c r="C416" s="240">
        <v>0</v>
      </c>
      <c r="D416" s="136"/>
      <c r="E416" s="8"/>
    </row>
    <row r="417" spans="1:5" x14ac:dyDescent="0.15">
      <c r="A417" s="210"/>
      <c r="B417" s="210" t="s">
        <v>448</v>
      </c>
      <c r="C417" s="240">
        <v>0</v>
      </c>
      <c r="D417" s="136"/>
      <c r="E417" s="8"/>
    </row>
    <row r="418" spans="1:5" x14ac:dyDescent="0.15">
      <c r="A418" s="210"/>
      <c r="B418" s="210" t="s">
        <v>449</v>
      </c>
      <c r="C418" s="240">
        <v>0</v>
      </c>
      <c r="D418" s="136"/>
      <c r="E418" s="8"/>
    </row>
    <row r="419" spans="1:5" x14ac:dyDescent="0.15">
      <c r="A419" s="210"/>
      <c r="B419" s="210" t="s">
        <v>450</v>
      </c>
      <c r="C419" s="240">
        <v>0</v>
      </c>
      <c r="D419" s="136"/>
      <c r="E419" s="8"/>
    </row>
    <row r="420" spans="1:5" x14ac:dyDescent="0.15">
      <c r="A420" s="211"/>
      <c r="B420" s="211" t="s">
        <v>451</v>
      </c>
      <c r="C420" s="240">
        <v>0</v>
      </c>
      <c r="D420" s="136"/>
      <c r="E420" s="8"/>
    </row>
    <row r="421" spans="1:5" x14ac:dyDescent="0.15">
      <c r="A421" s="212"/>
      <c r="B421" s="212" t="s">
        <v>452</v>
      </c>
      <c r="C421" s="240">
        <v>0</v>
      </c>
      <c r="D421" s="136"/>
      <c r="E421" s="8"/>
    </row>
    <row r="422" spans="1:5" x14ac:dyDescent="0.15">
      <c r="A422" s="210" t="s">
        <v>453</v>
      </c>
      <c r="B422" s="1" t="s">
        <v>82</v>
      </c>
      <c r="C422" s="240">
        <v>6.9980000000000002</v>
      </c>
      <c r="D422" s="136"/>
      <c r="E422" s="8"/>
    </row>
    <row r="423" spans="1:5" x14ac:dyDescent="0.15">
      <c r="A423" s="210"/>
      <c r="B423" s="1" t="s">
        <v>83</v>
      </c>
      <c r="C423" s="240">
        <v>0.41399999999999998</v>
      </c>
      <c r="D423" s="136"/>
      <c r="E423" s="8"/>
    </row>
    <row r="424" spans="1:5" x14ac:dyDescent="0.15">
      <c r="A424" s="210"/>
      <c r="B424" t="s">
        <v>132</v>
      </c>
      <c r="C424" s="240">
        <v>13.816000000000001</v>
      </c>
      <c r="D424" s="136"/>
      <c r="E424" s="8"/>
    </row>
    <row r="425" spans="1:5" x14ac:dyDescent="0.15">
      <c r="A425" s="210"/>
      <c r="B425" t="s">
        <v>131</v>
      </c>
      <c r="C425" s="240">
        <v>11.6</v>
      </c>
      <c r="D425" s="136"/>
      <c r="E425" s="8"/>
    </row>
    <row r="426" spans="1:5" x14ac:dyDescent="0.15">
      <c r="A426" s="210"/>
      <c r="B426" t="s">
        <v>84</v>
      </c>
      <c r="C426" s="240">
        <v>14.200000000000001</v>
      </c>
      <c r="D426" s="136"/>
      <c r="E426" s="8"/>
    </row>
    <row r="427" spans="1:5" x14ac:dyDescent="0.15">
      <c r="A427" s="210"/>
      <c r="B427" t="s">
        <v>85</v>
      </c>
      <c r="C427" s="240">
        <v>10.1</v>
      </c>
      <c r="D427" s="136"/>
      <c r="E427" s="8"/>
    </row>
    <row r="428" spans="1:5" x14ac:dyDescent="0.15">
      <c r="A428" s="210"/>
      <c r="B428" t="s">
        <v>86</v>
      </c>
      <c r="C428" s="240">
        <v>28.186</v>
      </c>
      <c r="D428" s="136"/>
      <c r="E428" s="8"/>
    </row>
    <row r="429" spans="1:5" x14ac:dyDescent="0.15">
      <c r="A429" s="210"/>
      <c r="B429" t="s">
        <v>303</v>
      </c>
      <c r="C429" s="240">
        <v>35.981000000000002</v>
      </c>
      <c r="D429" s="136"/>
      <c r="E429" s="8"/>
    </row>
    <row r="430" spans="1:5" x14ac:dyDescent="0.15">
      <c r="A430" s="210"/>
      <c r="B430" t="s">
        <v>88</v>
      </c>
      <c r="C430" s="240">
        <v>0.62</v>
      </c>
      <c r="D430" s="136"/>
      <c r="E430" s="8"/>
    </row>
    <row r="431" spans="1:5" x14ac:dyDescent="0.15">
      <c r="A431" s="210"/>
      <c r="B431" t="s">
        <v>89</v>
      </c>
      <c r="C431" s="240">
        <v>0.2</v>
      </c>
      <c r="D431" s="136"/>
      <c r="E431" s="8"/>
    </row>
    <row r="432" spans="1:5" x14ac:dyDescent="0.15">
      <c r="A432" s="210"/>
      <c r="B432" t="s">
        <v>90</v>
      </c>
      <c r="C432" s="240">
        <v>0.75</v>
      </c>
      <c r="D432" s="136"/>
      <c r="E432" s="8"/>
    </row>
    <row r="433" spans="1:5" x14ac:dyDescent="0.15">
      <c r="A433" s="210"/>
      <c r="B433" t="s">
        <v>91</v>
      </c>
      <c r="C433" s="240">
        <v>1</v>
      </c>
      <c r="D433" s="136"/>
      <c r="E433" s="8"/>
    </row>
    <row r="434" spans="1:5" x14ac:dyDescent="0.15">
      <c r="A434" s="210"/>
      <c r="B434" t="s">
        <v>92</v>
      </c>
      <c r="C434" s="240">
        <v>2.5</v>
      </c>
      <c r="D434" s="136"/>
      <c r="E434" s="8"/>
    </row>
    <row r="435" spans="1:5" x14ac:dyDescent="0.15">
      <c r="A435" s="210"/>
      <c r="B435" t="s">
        <v>93</v>
      </c>
      <c r="C435" s="240">
        <v>0.35</v>
      </c>
      <c r="D435" s="136"/>
      <c r="E435" s="8"/>
    </row>
    <row r="436" spans="1:5" x14ac:dyDescent="0.15">
      <c r="A436" s="210"/>
      <c r="B436" t="s">
        <v>272</v>
      </c>
      <c r="C436" s="240">
        <v>0</v>
      </c>
      <c r="D436" s="136"/>
      <c r="E436" s="8"/>
    </row>
    <row r="437" spans="1:5" x14ac:dyDescent="0.15">
      <c r="A437" s="210"/>
      <c r="B437" t="s">
        <v>273</v>
      </c>
      <c r="C437" s="240">
        <v>17</v>
      </c>
      <c r="D437" s="136"/>
      <c r="E437" s="8"/>
    </row>
    <row r="438" spans="1:5" x14ac:dyDescent="0.15">
      <c r="A438" s="210"/>
      <c r="B438" t="s">
        <v>274</v>
      </c>
      <c r="C438" s="240">
        <v>4.1770000000000005</v>
      </c>
      <c r="D438" s="136"/>
      <c r="E438" s="8"/>
    </row>
    <row r="439" spans="1:5" x14ac:dyDescent="0.15">
      <c r="A439" s="210"/>
      <c r="B439" t="s">
        <v>275</v>
      </c>
      <c r="C439" s="240">
        <v>22.091999999999999</v>
      </c>
      <c r="D439" s="136"/>
      <c r="E439" s="8"/>
    </row>
    <row r="440" spans="1:5" x14ac:dyDescent="0.15">
      <c r="A440" s="210"/>
      <c r="B440" s="1" t="s">
        <v>309</v>
      </c>
      <c r="C440" s="240">
        <v>12.652999999999999</v>
      </c>
      <c r="D440" s="136"/>
      <c r="E440" s="8"/>
    </row>
    <row r="441" spans="1:5" x14ac:dyDescent="0.15">
      <c r="A441" s="210"/>
      <c r="B441" s="1" t="s">
        <v>283</v>
      </c>
      <c r="C441" s="88">
        <f>C308</f>
        <v>194.48342288122927</v>
      </c>
      <c r="D441" s="136"/>
      <c r="E441" s="8"/>
    </row>
    <row r="442" spans="1:5" x14ac:dyDescent="0.15">
      <c r="A442" s="210"/>
      <c r="B442" s="1" t="s">
        <v>284</v>
      </c>
      <c r="C442" s="88">
        <f t="shared" ref="C442:C459" si="8">C309</f>
        <v>1491.1488312106894</v>
      </c>
      <c r="D442" s="136"/>
      <c r="E442" s="8"/>
    </row>
    <row r="443" spans="1:5" x14ac:dyDescent="0.15">
      <c r="A443" s="210"/>
      <c r="B443" t="s">
        <v>285</v>
      </c>
      <c r="C443" s="88">
        <f t="shared" si="8"/>
        <v>3500.8506034311758</v>
      </c>
      <c r="D443" s="136"/>
      <c r="E443" s="8"/>
    </row>
    <row r="444" spans="1:5" x14ac:dyDescent="0.15">
      <c r="A444" s="210"/>
      <c r="B444" t="s">
        <v>286</v>
      </c>
      <c r="C444" s="88">
        <f t="shared" si="8"/>
        <v>430.72614012031772</v>
      </c>
      <c r="D444" s="136"/>
      <c r="E444" s="8"/>
    </row>
    <row r="445" spans="1:5" x14ac:dyDescent="0.15">
      <c r="A445" s="210"/>
      <c r="B445" t="s">
        <v>287</v>
      </c>
      <c r="C445" s="88">
        <f t="shared" si="8"/>
        <v>182.64934636717311</v>
      </c>
      <c r="D445" s="136"/>
      <c r="E445" s="8"/>
    </row>
    <row r="446" spans="1:5" x14ac:dyDescent="0.15">
      <c r="A446" s="210"/>
      <c r="B446" t="s">
        <v>288</v>
      </c>
      <c r="C446" s="88">
        <f t="shared" si="8"/>
        <v>1062.8500089119311</v>
      </c>
      <c r="D446" s="136"/>
      <c r="E446" s="8"/>
    </row>
    <row r="447" spans="1:5" x14ac:dyDescent="0.15">
      <c r="A447" s="210"/>
      <c r="B447" t="s">
        <v>289</v>
      </c>
      <c r="C447" s="88">
        <f t="shared" si="8"/>
        <v>1628.7341887602286</v>
      </c>
      <c r="D447" s="136"/>
      <c r="E447" s="8"/>
    </row>
    <row r="448" spans="1:5" x14ac:dyDescent="0.15">
      <c r="A448" s="210"/>
      <c r="B448" t="s">
        <v>306</v>
      </c>
      <c r="C448" s="88">
        <f t="shared" si="8"/>
        <v>308.12036209409558</v>
      </c>
      <c r="D448" s="136"/>
      <c r="E448" s="8"/>
    </row>
    <row r="449" spans="1:6" x14ac:dyDescent="0.15">
      <c r="A449" s="210"/>
      <c r="B449" t="s">
        <v>290</v>
      </c>
      <c r="C449" s="88">
        <f t="shared" si="8"/>
        <v>244.11059383730398</v>
      </c>
      <c r="D449" s="136"/>
      <c r="E449" s="8"/>
    </row>
    <row r="450" spans="1:6" x14ac:dyDescent="0.15">
      <c r="A450" s="210"/>
      <c r="B450" t="s">
        <v>291</v>
      </c>
      <c r="C450" s="88">
        <f t="shared" si="8"/>
        <v>254.72322413405675</v>
      </c>
      <c r="D450" s="136"/>
      <c r="E450" s="8"/>
    </row>
    <row r="451" spans="1:6" x14ac:dyDescent="0.15">
      <c r="A451" s="210"/>
      <c r="B451" t="s">
        <v>293</v>
      </c>
      <c r="C451" s="88">
        <f t="shared" si="8"/>
        <v>44.173597989686456</v>
      </c>
      <c r="D451" s="136"/>
      <c r="E451" s="8"/>
    </row>
    <row r="452" spans="1:6" x14ac:dyDescent="0.15">
      <c r="A452" s="210"/>
      <c r="B452" t="s">
        <v>292</v>
      </c>
      <c r="C452" s="88">
        <f t="shared" si="8"/>
        <v>73.375401572645458</v>
      </c>
      <c r="D452" s="136"/>
      <c r="E452" s="8"/>
    </row>
    <row r="453" spans="1:6" x14ac:dyDescent="0.15">
      <c r="A453" s="210"/>
      <c r="B453" t="s">
        <v>294</v>
      </c>
      <c r="C453" s="88">
        <f t="shared" si="8"/>
        <v>106.57172820561341</v>
      </c>
      <c r="D453" s="136"/>
      <c r="E453" s="8"/>
    </row>
    <row r="454" spans="1:6" x14ac:dyDescent="0.15">
      <c r="A454" s="210"/>
      <c r="B454" t="s">
        <v>295</v>
      </c>
      <c r="C454" s="88">
        <f t="shared" si="8"/>
        <v>31.720558941955975</v>
      </c>
      <c r="D454" s="136"/>
      <c r="E454" s="8"/>
    </row>
    <row r="455" spans="1:6" x14ac:dyDescent="0.15">
      <c r="A455" s="210"/>
      <c r="B455" t="s">
        <v>296</v>
      </c>
      <c r="C455" s="88">
        <f t="shared" si="8"/>
        <v>8.7921675769631058</v>
      </c>
      <c r="D455" s="136"/>
      <c r="E455" s="8"/>
    </row>
    <row r="456" spans="1:6" x14ac:dyDescent="0.15">
      <c r="A456" s="210"/>
      <c r="B456" t="s">
        <v>297</v>
      </c>
      <c r="C456" s="88">
        <f t="shared" si="8"/>
        <v>1877.7325147364591</v>
      </c>
      <c r="D456" s="136"/>
      <c r="E456" s="8"/>
    </row>
    <row r="457" spans="1:6" x14ac:dyDescent="0.15">
      <c r="A457" s="210"/>
      <c r="B457" t="s">
        <v>298</v>
      </c>
      <c r="C457" s="88">
        <f t="shared" si="8"/>
        <v>263.61709958956811</v>
      </c>
      <c r="D457" s="136"/>
      <c r="E457" s="8"/>
    </row>
    <row r="458" spans="1:6" x14ac:dyDescent="0.15">
      <c r="A458" s="210"/>
      <c r="B458" t="s">
        <v>299</v>
      </c>
      <c r="C458" s="88">
        <f t="shared" si="8"/>
        <v>189.27790626935467</v>
      </c>
      <c r="D458" s="136"/>
      <c r="E458" s="8"/>
    </row>
    <row r="459" spans="1:6" x14ac:dyDescent="0.15">
      <c r="A459" s="210"/>
      <c r="B459" s="1" t="s">
        <v>311</v>
      </c>
      <c r="C459" s="88">
        <f t="shared" si="8"/>
        <v>612.32166506080296</v>
      </c>
      <c r="D459" s="136"/>
      <c r="E459" s="8"/>
    </row>
    <row r="460" spans="1:6" x14ac:dyDescent="0.15">
      <c r="A460" s="210"/>
      <c r="B460" s="211" t="s">
        <v>434</v>
      </c>
      <c r="C460" s="240">
        <v>0</v>
      </c>
      <c r="D460" s="136"/>
      <c r="E460" s="8"/>
      <c r="F460" s="213"/>
    </row>
    <row r="461" spans="1:6" x14ac:dyDescent="0.15">
      <c r="A461" s="210"/>
      <c r="B461" s="211" t="s">
        <v>435</v>
      </c>
      <c r="C461" s="240">
        <v>0</v>
      </c>
      <c r="D461" s="136"/>
      <c r="E461" s="8"/>
      <c r="F461" s="213"/>
    </row>
    <row r="462" spans="1:6" x14ac:dyDescent="0.15">
      <c r="A462" s="210"/>
      <c r="B462" s="210" t="s">
        <v>436</v>
      </c>
      <c r="C462" s="240">
        <v>0</v>
      </c>
      <c r="D462" s="136"/>
      <c r="E462" s="8"/>
      <c r="F462" s="213"/>
    </row>
    <row r="463" spans="1:6" x14ac:dyDescent="0.15">
      <c r="A463" s="210"/>
      <c r="B463" s="210" t="s">
        <v>437</v>
      </c>
      <c r="C463" s="240">
        <v>0</v>
      </c>
      <c r="D463" s="136"/>
      <c r="E463" s="8"/>
      <c r="F463" s="213"/>
    </row>
    <row r="464" spans="1:6" x14ac:dyDescent="0.15">
      <c r="A464" s="210"/>
      <c r="B464" s="210" t="s">
        <v>438</v>
      </c>
      <c r="C464" s="240">
        <v>0</v>
      </c>
      <c r="D464" s="136"/>
      <c r="E464" s="8"/>
      <c r="F464" s="213"/>
    </row>
    <row r="465" spans="1:6" x14ac:dyDescent="0.15">
      <c r="A465" s="210"/>
      <c r="B465" s="210" t="s">
        <v>439</v>
      </c>
      <c r="C465" s="240">
        <v>0</v>
      </c>
      <c r="D465" s="136"/>
      <c r="E465" s="8"/>
      <c r="F465" s="213"/>
    </row>
    <row r="466" spans="1:6" x14ac:dyDescent="0.15">
      <c r="A466" s="210"/>
      <c r="B466" s="210" t="s">
        <v>440</v>
      </c>
      <c r="C466" s="240">
        <v>0</v>
      </c>
      <c r="D466" s="136"/>
      <c r="E466" s="8"/>
      <c r="F466" s="213"/>
    </row>
    <row r="467" spans="1:6" x14ac:dyDescent="0.15">
      <c r="A467" s="210"/>
      <c r="B467" s="210" t="s">
        <v>441</v>
      </c>
      <c r="C467" s="240">
        <v>0</v>
      </c>
      <c r="D467" s="136"/>
      <c r="E467" s="8"/>
      <c r="F467" s="213"/>
    </row>
    <row r="468" spans="1:6" x14ac:dyDescent="0.15">
      <c r="A468" s="210"/>
      <c r="B468" s="210" t="s">
        <v>442</v>
      </c>
      <c r="C468" s="240">
        <v>0</v>
      </c>
      <c r="D468" s="136"/>
      <c r="E468" s="8"/>
      <c r="F468" s="213"/>
    </row>
    <row r="469" spans="1:6" x14ac:dyDescent="0.15">
      <c r="A469" s="210"/>
      <c r="B469" s="210" t="s">
        <v>443</v>
      </c>
      <c r="C469" s="240">
        <v>0</v>
      </c>
      <c r="D469" s="136"/>
      <c r="E469" s="8"/>
      <c r="F469" s="213"/>
    </row>
    <row r="470" spans="1:6" x14ac:dyDescent="0.15">
      <c r="A470" s="210"/>
      <c r="B470" s="210" t="s">
        <v>444</v>
      </c>
      <c r="C470" s="240">
        <v>0</v>
      </c>
      <c r="D470" s="136"/>
      <c r="E470" s="8"/>
      <c r="F470" s="213"/>
    </row>
    <row r="471" spans="1:6" x14ac:dyDescent="0.15">
      <c r="A471" s="210"/>
      <c r="B471" s="210" t="s">
        <v>445</v>
      </c>
      <c r="C471" s="240">
        <v>0</v>
      </c>
      <c r="D471" s="136"/>
      <c r="E471" s="8"/>
      <c r="F471" s="213"/>
    </row>
    <row r="472" spans="1:6" x14ac:dyDescent="0.15">
      <c r="A472" s="210"/>
      <c r="B472" s="210" t="s">
        <v>446</v>
      </c>
      <c r="C472" s="240">
        <v>0</v>
      </c>
      <c r="D472" s="136"/>
      <c r="E472" s="8"/>
      <c r="F472" s="213"/>
    </row>
    <row r="473" spans="1:6" x14ac:dyDescent="0.15">
      <c r="A473" s="210"/>
      <c r="B473" s="210" t="s">
        <v>447</v>
      </c>
      <c r="C473" s="240">
        <v>0</v>
      </c>
      <c r="D473" s="136"/>
      <c r="E473" s="8"/>
      <c r="F473" s="213"/>
    </row>
    <row r="474" spans="1:6" x14ac:dyDescent="0.15">
      <c r="A474" s="210"/>
      <c r="B474" s="210" t="s">
        <v>448</v>
      </c>
      <c r="C474" s="240">
        <v>0</v>
      </c>
      <c r="D474" s="136"/>
      <c r="E474" s="8"/>
      <c r="F474" s="213"/>
    </row>
    <row r="475" spans="1:6" x14ac:dyDescent="0.15">
      <c r="A475" s="210"/>
      <c r="B475" s="210" t="s">
        <v>449</v>
      </c>
      <c r="C475" s="240">
        <v>0</v>
      </c>
      <c r="D475" s="136"/>
      <c r="E475" s="8"/>
      <c r="F475" s="213"/>
    </row>
    <row r="476" spans="1:6" x14ac:dyDescent="0.15">
      <c r="A476" s="210"/>
      <c r="B476" s="210" t="s">
        <v>450</v>
      </c>
      <c r="C476" s="240">
        <v>0</v>
      </c>
      <c r="D476" s="136"/>
      <c r="E476" s="8"/>
      <c r="F476" s="213"/>
    </row>
    <row r="477" spans="1:6" x14ac:dyDescent="0.15">
      <c r="A477" s="210"/>
      <c r="B477" s="210" t="s">
        <v>451</v>
      </c>
      <c r="C477" s="240">
        <v>0</v>
      </c>
      <c r="D477" s="136"/>
      <c r="E477" s="8"/>
      <c r="F477" s="213"/>
    </row>
    <row r="478" spans="1:6" x14ac:dyDescent="0.15">
      <c r="A478" s="210"/>
      <c r="B478" s="211" t="s">
        <v>452</v>
      </c>
      <c r="C478" s="240">
        <v>0</v>
      </c>
      <c r="D478" s="136"/>
      <c r="E478" s="8"/>
      <c r="F478" s="2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opLeftCell="A16" workbookViewId="0">
      <selection activeCell="E41" sqref="E41"/>
    </sheetView>
  </sheetViews>
  <sheetFormatPr defaultRowHeight="11.25" x14ac:dyDescent="0.15"/>
  <cols>
    <col min="1" max="1" width="10.875" customWidth="1"/>
    <col min="2" max="2" width="15.5" customWidth="1"/>
    <col min="3" max="4" width="15.75" customWidth="1"/>
  </cols>
  <sheetData>
    <row r="1" spans="1:10" ht="19.5" x14ac:dyDescent="0.25">
      <c r="A1" s="6" t="s">
        <v>2</v>
      </c>
    </row>
    <row r="2" spans="1:10" x14ac:dyDescent="0.15">
      <c r="A2" s="5" t="s">
        <v>405</v>
      </c>
    </row>
    <row r="3" spans="1:10" x14ac:dyDescent="0.15">
      <c r="A3" s="5"/>
    </row>
    <row r="4" spans="1:10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77"/>
    </row>
    <row r="5" spans="1:10" x14ac:dyDescent="0.15">
      <c r="A5" s="37"/>
      <c r="B5" s="98"/>
      <c r="C5" s="8"/>
      <c r="D5" s="8"/>
      <c r="E5" s="78"/>
      <c r="F5" s="67"/>
      <c r="G5" s="8"/>
      <c r="H5" s="8"/>
      <c r="I5" s="8"/>
      <c r="J5" s="78"/>
    </row>
    <row r="6" spans="1:10" x14ac:dyDescent="0.15">
      <c r="A6" s="37"/>
      <c r="B6" s="95"/>
      <c r="C6" s="8"/>
      <c r="D6" s="8"/>
      <c r="E6" s="78"/>
      <c r="F6" s="8"/>
      <c r="G6" s="8"/>
      <c r="H6" s="8"/>
      <c r="I6" s="8"/>
      <c r="J6" s="78"/>
    </row>
    <row r="7" spans="1:10" x14ac:dyDescent="0.15">
      <c r="A7" s="99"/>
      <c r="B7" s="100"/>
      <c r="C7" s="8"/>
      <c r="D7" s="8"/>
      <c r="E7" s="78"/>
      <c r="F7" s="67"/>
      <c r="G7" s="8"/>
      <c r="H7" s="8"/>
      <c r="I7" s="8"/>
      <c r="J7" s="78"/>
    </row>
    <row r="8" spans="1:10" x14ac:dyDescent="0.15">
      <c r="A8" s="110" t="s">
        <v>141</v>
      </c>
      <c r="B8" s="8"/>
      <c r="C8" s="8"/>
      <c r="D8" s="8"/>
      <c r="E8" s="78"/>
      <c r="F8" s="67"/>
      <c r="G8" s="8"/>
      <c r="H8" s="8"/>
      <c r="I8" s="8"/>
      <c r="J8" s="78"/>
    </row>
    <row r="9" spans="1:10" x14ac:dyDescent="0.15">
      <c r="A9" s="95"/>
      <c r="B9" s="8"/>
      <c r="C9" s="8"/>
      <c r="D9" s="8"/>
      <c r="E9" s="78"/>
      <c r="F9" s="67"/>
      <c r="G9" s="8"/>
      <c r="H9" s="79"/>
      <c r="I9" s="79"/>
      <c r="J9" s="193"/>
    </row>
    <row r="10" spans="1:10" x14ac:dyDescent="0.15">
      <c r="A10" s="99"/>
      <c r="B10" s="8"/>
      <c r="C10" s="8"/>
      <c r="D10" s="8"/>
      <c r="E10" s="78"/>
      <c r="F10" s="67"/>
      <c r="G10" s="8"/>
      <c r="H10" s="8"/>
      <c r="I10" s="8"/>
      <c r="J10" s="78"/>
    </row>
    <row r="11" spans="1:10" x14ac:dyDescent="0.15">
      <c r="A11" s="8"/>
      <c r="B11" s="8"/>
      <c r="C11" s="8"/>
      <c r="D11" s="8"/>
      <c r="E11" s="78"/>
      <c r="F11" s="67"/>
      <c r="G11" s="8"/>
      <c r="H11" s="8"/>
      <c r="I11" s="8"/>
      <c r="J11" s="78"/>
    </row>
    <row r="12" spans="1:10" x14ac:dyDescent="0.15">
      <c r="A12" s="37"/>
      <c r="B12" s="37"/>
      <c r="C12" s="37"/>
      <c r="D12" s="37"/>
      <c r="E12" s="78"/>
      <c r="F12" s="37"/>
      <c r="G12" s="37"/>
      <c r="H12" s="37"/>
      <c r="I12" s="8"/>
      <c r="J12" s="78"/>
    </row>
    <row r="13" spans="1:10" x14ac:dyDescent="0.15">
      <c r="A13" s="95"/>
      <c r="B13" s="37"/>
      <c r="C13" s="37"/>
      <c r="D13" s="37"/>
      <c r="E13" s="78"/>
      <c r="F13" s="37"/>
      <c r="G13" s="37"/>
      <c r="H13" s="37"/>
      <c r="I13" s="8"/>
      <c r="J13" s="78"/>
    </row>
    <row r="14" spans="1:10" x14ac:dyDescent="0.15">
      <c r="A14" s="37"/>
      <c r="B14" s="37"/>
      <c r="C14" s="37"/>
      <c r="D14" s="95"/>
      <c r="E14" s="78"/>
      <c r="F14" s="37"/>
      <c r="G14" s="37"/>
      <c r="H14" s="37"/>
      <c r="I14" s="8"/>
      <c r="J14" s="78"/>
    </row>
    <row r="15" spans="1:10" x14ac:dyDescent="0.15">
      <c r="A15" s="8"/>
      <c r="B15" s="8"/>
      <c r="C15" s="8"/>
      <c r="D15" s="8"/>
      <c r="E15" s="78"/>
      <c r="F15" s="67"/>
      <c r="G15" s="8"/>
      <c r="H15" s="8"/>
      <c r="I15" s="8"/>
      <c r="J15" s="78"/>
    </row>
    <row r="16" spans="1:10" x14ac:dyDescent="0.15">
      <c r="A16" s="8"/>
      <c r="B16" s="8"/>
      <c r="C16" s="8"/>
      <c r="D16" s="8"/>
      <c r="E16" s="78"/>
      <c r="F16" s="67"/>
      <c r="G16" s="8"/>
      <c r="H16" s="8"/>
      <c r="I16" s="8"/>
      <c r="J16" s="78"/>
    </row>
    <row r="17" spans="1:11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</row>
    <row r="18" spans="1:11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</row>
    <row r="19" spans="1:11" x14ac:dyDescent="0.15">
      <c r="A19" s="5"/>
      <c r="J19" s="1"/>
      <c r="K19" s="1"/>
    </row>
    <row r="20" spans="1:11" ht="36" customHeight="1" x14ac:dyDescent="0.15">
      <c r="A20" s="3" t="s">
        <v>1</v>
      </c>
      <c r="B20" s="22" t="s">
        <v>62</v>
      </c>
      <c r="C20" s="4"/>
    </row>
    <row r="21" spans="1:11" x14ac:dyDescent="0.15">
      <c r="A21" s="3" t="s">
        <v>0</v>
      </c>
      <c r="B21" s="2" t="s">
        <v>9</v>
      </c>
      <c r="C21" s="2"/>
      <c r="D21" s="2"/>
      <c r="E21" s="2"/>
      <c r="G21" s="2"/>
    </row>
    <row r="22" spans="1:11" x14ac:dyDescent="0.15">
      <c r="A22" s="7" t="s">
        <v>3</v>
      </c>
      <c r="B22" t="s">
        <v>61</v>
      </c>
      <c r="D22" s="1"/>
      <c r="E22" s="1"/>
    </row>
    <row r="23" spans="1:11" x14ac:dyDescent="0.15">
      <c r="A23" s="1" t="s">
        <v>106</v>
      </c>
      <c r="B23" s="36">
        <v>1</v>
      </c>
      <c r="C23" s="8"/>
      <c r="D23" s="1"/>
      <c r="E23" s="8"/>
      <c r="G23" s="8"/>
    </row>
    <row r="24" spans="1:11" x14ac:dyDescent="0.15">
      <c r="A24" s="1" t="s">
        <v>10</v>
      </c>
      <c r="B24">
        <v>1</v>
      </c>
      <c r="C24" s="8"/>
      <c r="D24" s="1"/>
      <c r="E24" s="8"/>
      <c r="G24" s="8"/>
    </row>
    <row r="25" spans="1:11" x14ac:dyDescent="0.15">
      <c r="A25" t="s">
        <v>188</v>
      </c>
      <c r="B25">
        <v>1</v>
      </c>
    </row>
    <row r="26" spans="1:11" x14ac:dyDescent="0.15">
      <c r="A26" t="s">
        <v>107</v>
      </c>
      <c r="B26">
        <v>1</v>
      </c>
    </row>
    <row r="27" spans="1:11" x14ac:dyDescent="0.15">
      <c r="A27" t="s">
        <v>108</v>
      </c>
      <c r="B27">
        <v>1</v>
      </c>
    </row>
    <row r="28" spans="1:11" x14ac:dyDescent="0.15">
      <c r="A28" t="s">
        <v>147</v>
      </c>
      <c r="B28">
        <v>1</v>
      </c>
    </row>
    <row r="29" spans="1:11" x14ac:dyDescent="0.15">
      <c r="A29" t="s">
        <v>148</v>
      </c>
      <c r="B29">
        <v>1</v>
      </c>
    </row>
    <row r="30" spans="1:11" x14ac:dyDescent="0.15">
      <c r="A30" t="s">
        <v>149</v>
      </c>
      <c r="B30">
        <v>1</v>
      </c>
    </row>
    <row r="31" spans="1:11" x14ac:dyDescent="0.15">
      <c r="A31" t="s">
        <v>151</v>
      </c>
      <c r="B31">
        <v>1</v>
      </c>
    </row>
    <row r="32" spans="1:11" x14ac:dyDescent="0.15">
      <c r="A32" t="s">
        <v>152</v>
      </c>
      <c r="B32">
        <v>1</v>
      </c>
    </row>
    <row r="33" spans="1:2" x14ac:dyDescent="0.15">
      <c r="A33" t="s">
        <v>367</v>
      </c>
      <c r="B33">
        <v>1</v>
      </c>
    </row>
    <row r="34" spans="1:2" x14ac:dyDescent="0.15">
      <c r="A34" t="s">
        <v>150</v>
      </c>
      <c r="B3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topLeftCell="A13" zoomScaleNormal="100" workbookViewId="0">
      <selection activeCell="A38" sqref="A38"/>
    </sheetView>
  </sheetViews>
  <sheetFormatPr defaultRowHeight="11.25" x14ac:dyDescent="0.15"/>
  <cols>
    <col min="1" max="1" width="12.75" customWidth="1"/>
    <col min="2" max="2" width="12.625" customWidth="1"/>
    <col min="3" max="3" width="13.75" customWidth="1"/>
    <col min="4" max="4" width="15.875" customWidth="1"/>
    <col min="5" max="5" width="14.125" customWidth="1"/>
    <col min="6" max="6" width="12.25" customWidth="1"/>
    <col min="7" max="7" width="15.5" customWidth="1"/>
    <col min="8" max="8" width="14.5" customWidth="1"/>
    <col min="9" max="9" width="15.25" customWidth="1"/>
    <col min="10" max="10" width="14.625" customWidth="1"/>
  </cols>
  <sheetData>
    <row r="1" spans="1:22" s="37" customFormat="1" ht="19.5" x14ac:dyDescent="0.25">
      <c r="A1" s="93" t="s">
        <v>28</v>
      </c>
      <c r="G1" s="8"/>
    </row>
    <row r="2" spans="1:22" s="37" customFormat="1" x14ac:dyDescent="0.15">
      <c r="A2" s="94" t="s">
        <v>404</v>
      </c>
      <c r="E2" s="95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7" customFormat="1" x14ac:dyDescent="0.15">
      <c r="A3" s="94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7" customFormat="1" x14ac:dyDescent="0.15">
      <c r="A4" s="97" t="s">
        <v>139</v>
      </c>
      <c r="B4" s="12"/>
      <c r="C4" s="12"/>
      <c r="D4" s="12"/>
      <c r="E4" s="77"/>
      <c r="F4" s="96" t="s">
        <v>140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7" customFormat="1" x14ac:dyDescent="0.15">
      <c r="A5" s="37" t="s">
        <v>134</v>
      </c>
      <c r="B5" s="98"/>
      <c r="C5" s="8"/>
      <c r="D5" s="8"/>
      <c r="E5" s="78"/>
      <c r="F5" s="6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7" customFormat="1" x14ac:dyDescent="0.15">
      <c r="A6" s="95" t="s">
        <v>115</v>
      </c>
      <c r="B6" s="95"/>
      <c r="C6" s="8"/>
      <c r="D6" s="8"/>
      <c r="E6" s="7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7" customFormat="1" x14ac:dyDescent="0.15">
      <c r="A7" s="99"/>
      <c r="B7" s="100"/>
      <c r="C7" s="8"/>
      <c r="D7" s="8"/>
      <c r="E7" s="78"/>
      <c r="F7" s="6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7" customFormat="1" x14ac:dyDescent="0.15">
      <c r="A8" s="191" t="s">
        <v>116</v>
      </c>
      <c r="B8" s="8"/>
      <c r="C8" s="8"/>
      <c r="D8" s="8"/>
      <c r="E8" s="78"/>
      <c r="F8" s="6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7" customFormat="1" x14ac:dyDescent="0.15">
      <c r="A9" s="95" t="s">
        <v>117</v>
      </c>
      <c r="B9" s="8"/>
      <c r="C9" s="8"/>
      <c r="D9" s="8"/>
      <c r="E9" s="78"/>
      <c r="F9" s="67"/>
      <c r="G9" s="79"/>
      <c r="H9" s="79"/>
      <c r="I9" s="79"/>
      <c r="J9" s="79"/>
      <c r="K9" s="8"/>
      <c r="L9" s="8"/>
      <c r="M9" s="8"/>
      <c r="N9" s="8"/>
      <c r="O9" s="79"/>
      <c r="P9" s="79"/>
      <c r="Q9" s="79"/>
      <c r="R9" s="8"/>
      <c r="S9" s="8"/>
      <c r="T9" s="8"/>
      <c r="U9" s="8"/>
      <c r="V9" s="8"/>
    </row>
    <row r="10" spans="1:22" s="37" customFormat="1" x14ac:dyDescent="0.15">
      <c r="A10" s="99"/>
      <c r="B10" s="8"/>
      <c r="C10" s="8"/>
      <c r="D10" s="8"/>
      <c r="E10" s="78"/>
      <c r="F10" s="6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7" customFormat="1" x14ac:dyDescent="0.15">
      <c r="A11" s="8"/>
      <c r="B11" s="8"/>
      <c r="C11" s="8"/>
      <c r="D11" s="8"/>
      <c r="E11" s="78"/>
      <c r="F11" s="6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7" customFormat="1" x14ac:dyDescent="0.15">
      <c r="A12" s="37" t="s">
        <v>129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7" customFormat="1" x14ac:dyDescent="0.15">
      <c r="A13" s="95" t="s">
        <v>128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7" customFormat="1" x14ac:dyDescent="0.15">
      <c r="A14" s="37" t="s">
        <v>383</v>
      </c>
      <c r="D14" s="95" t="s">
        <v>130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7" customFormat="1" x14ac:dyDescent="0.15">
      <c r="A15" s="8"/>
      <c r="B15" s="8"/>
      <c r="C15" s="8"/>
      <c r="D15" s="8"/>
      <c r="E15" s="78"/>
      <c r="F15" s="6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7" customFormat="1" x14ac:dyDescent="0.15">
      <c r="A16" s="8"/>
      <c r="B16" s="8"/>
      <c r="C16" s="8"/>
      <c r="D16" s="8"/>
      <c r="E16" s="78"/>
      <c r="F16" s="6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7" customFormat="1" x14ac:dyDescent="0.15">
      <c r="A17" s="8"/>
      <c r="B17" s="8"/>
      <c r="C17" s="8"/>
      <c r="D17" s="8"/>
      <c r="E17" s="78"/>
      <c r="F17" s="6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7" customFormat="1" x14ac:dyDescent="0.15">
      <c r="A18" s="30"/>
      <c r="B18" s="30"/>
      <c r="C18" s="30"/>
      <c r="D18" s="30"/>
      <c r="E18" s="76"/>
      <c r="F18" s="75"/>
      <c r="G18" s="30"/>
      <c r="H18" s="3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7" customFormat="1" x14ac:dyDescent="0.15">
      <c r="A19" s="94"/>
      <c r="C19" s="99"/>
      <c r="G19" s="8"/>
      <c r="H19" s="99"/>
      <c r="I19" s="8"/>
      <c r="J19" s="8"/>
      <c r="K19" s="8"/>
      <c r="L19" s="8"/>
      <c r="M19" s="8"/>
      <c r="N19" s="8"/>
      <c r="O19" s="8"/>
      <c r="P19" s="191"/>
      <c r="Q19" s="8"/>
      <c r="R19" s="8"/>
      <c r="S19" s="8"/>
      <c r="T19" s="8"/>
      <c r="U19" s="8"/>
      <c r="V19" s="8"/>
    </row>
    <row r="20" spans="1:22" s="37" customFormat="1" ht="35.450000000000003" customHeight="1" x14ac:dyDescent="0.15">
      <c r="A20" s="84" t="s">
        <v>43</v>
      </c>
      <c r="B20" s="84" t="s">
        <v>44</v>
      </c>
      <c r="C20" s="109"/>
      <c r="D20" s="84"/>
      <c r="E20" s="84"/>
      <c r="F20" s="8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7" customFormat="1" x14ac:dyDescent="0.15">
      <c r="A21" s="3" t="s">
        <v>0</v>
      </c>
      <c r="B21" s="85" t="s">
        <v>42</v>
      </c>
      <c r="C21" s="108"/>
      <c r="D21" s="85"/>
      <c r="E21" s="85"/>
      <c r="F21" s="85"/>
    </row>
    <row r="22" spans="1:22" s="37" customFormat="1" ht="12" thickBot="1" x14ac:dyDescent="0.2">
      <c r="A22" s="60" t="s">
        <v>27</v>
      </c>
      <c r="B22" s="65" t="s">
        <v>69</v>
      </c>
      <c r="C22" s="8"/>
      <c r="D22" s="8"/>
      <c r="H22" s="8"/>
      <c r="I22" s="8"/>
    </row>
    <row r="23" spans="1:22" s="37" customFormat="1" x14ac:dyDescent="0.15">
      <c r="A23" s="8" t="s">
        <v>100</v>
      </c>
      <c r="B23" s="113" t="s">
        <v>188</v>
      </c>
      <c r="C23" s="8"/>
      <c r="D23" s="8"/>
      <c r="E23" s="8"/>
      <c r="F23" s="8"/>
      <c r="H23" s="8"/>
      <c r="I23" s="8"/>
      <c r="J23" s="8"/>
      <c r="K23" s="8"/>
    </row>
    <row r="24" spans="1:22" s="37" customFormat="1" x14ac:dyDescent="0.15">
      <c r="A24" s="8" t="s">
        <v>99</v>
      </c>
      <c r="B24" s="113" t="s">
        <v>106</v>
      </c>
      <c r="C24" s="8"/>
      <c r="D24" s="8"/>
      <c r="E24" s="8"/>
      <c r="F24" s="8"/>
      <c r="H24" s="8"/>
      <c r="I24" s="8"/>
      <c r="J24" s="8"/>
      <c r="K24" s="8"/>
    </row>
    <row r="25" spans="1:22" s="37" customFormat="1" x14ac:dyDescent="0.15">
      <c r="A25" s="8" t="s">
        <v>101</v>
      </c>
      <c r="B25" s="113" t="s">
        <v>107</v>
      </c>
      <c r="C25" s="8"/>
      <c r="D25" s="8"/>
      <c r="E25" s="8"/>
      <c r="F25" s="8"/>
    </row>
    <row r="26" spans="1:22" s="37" customFormat="1" x14ac:dyDescent="0.15">
      <c r="A26" s="8" t="s">
        <v>102</v>
      </c>
      <c r="B26" s="113" t="s">
        <v>108</v>
      </c>
      <c r="C26" s="8"/>
      <c r="D26" s="8"/>
      <c r="E26" s="8"/>
      <c r="F26" s="8"/>
    </row>
    <row r="27" spans="1:22" s="37" customFormat="1" x14ac:dyDescent="0.15">
      <c r="A27" s="8" t="s">
        <v>104</v>
      </c>
      <c r="B27" s="113" t="s">
        <v>10</v>
      </c>
      <c r="C27" s="8"/>
      <c r="D27" s="8"/>
      <c r="E27" s="8"/>
      <c r="F27" s="8"/>
    </row>
    <row r="28" spans="1:22" s="37" customFormat="1" x14ac:dyDescent="0.15">
      <c r="A28" s="8" t="s">
        <v>105</v>
      </c>
      <c r="B28" s="113" t="s">
        <v>10</v>
      </c>
      <c r="C28" s="8"/>
      <c r="D28" s="8"/>
      <c r="E28" s="8"/>
      <c r="F28" s="8"/>
    </row>
    <row r="29" spans="1:22" s="37" customFormat="1" x14ac:dyDescent="0.15">
      <c r="A29" s="8" t="s">
        <v>153</v>
      </c>
      <c r="B29" s="113" t="s">
        <v>148</v>
      </c>
      <c r="C29" s="8"/>
      <c r="D29" s="8"/>
      <c r="E29" s="8"/>
      <c r="F29" s="8"/>
    </row>
    <row r="30" spans="1:22" s="37" customFormat="1" x14ac:dyDescent="0.15">
      <c r="A30" s="8" t="s">
        <v>154</v>
      </c>
      <c r="B30" s="113" t="s">
        <v>188</v>
      </c>
      <c r="C30" s="8"/>
      <c r="D30" s="8"/>
      <c r="E30" s="8"/>
      <c r="F30" s="8"/>
    </row>
    <row r="31" spans="1:22" s="37" customFormat="1" x14ac:dyDescent="0.15">
      <c r="A31" s="8" t="s">
        <v>360</v>
      </c>
      <c r="B31" s="113" t="s">
        <v>149</v>
      </c>
      <c r="C31" s="8"/>
      <c r="D31" s="8"/>
      <c r="E31" s="8"/>
      <c r="F31" s="8"/>
    </row>
    <row r="32" spans="1:22" s="37" customFormat="1" x14ac:dyDescent="0.15">
      <c r="A32" s="8" t="s">
        <v>359</v>
      </c>
      <c r="B32" s="113" t="s">
        <v>149</v>
      </c>
      <c r="C32" s="8"/>
      <c r="D32" s="8"/>
      <c r="E32" s="8"/>
      <c r="F32" s="8"/>
    </row>
    <row r="33" spans="1:12" s="37" customFormat="1" x14ac:dyDescent="0.15">
      <c r="A33" s="8" t="s">
        <v>103</v>
      </c>
      <c r="B33" s="113" t="s">
        <v>151</v>
      </c>
      <c r="C33" s="8"/>
      <c r="D33" s="8"/>
      <c r="E33" s="8"/>
      <c r="F33" s="8"/>
    </row>
    <row r="34" spans="1:12" s="37" customFormat="1" x14ac:dyDescent="0.15">
      <c r="A34" s="8" t="s">
        <v>156</v>
      </c>
      <c r="B34" s="113" t="s">
        <v>152</v>
      </c>
      <c r="C34" s="8"/>
      <c r="D34" s="8"/>
      <c r="E34" s="8"/>
      <c r="F34" s="8"/>
    </row>
    <row r="35" spans="1:12" s="37" customFormat="1" x14ac:dyDescent="0.15">
      <c r="A35" s="8" t="s">
        <v>229</v>
      </c>
      <c r="B35" s="113" t="s">
        <v>367</v>
      </c>
      <c r="C35" s="8"/>
      <c r="D35" s="8"/>
      <c r="E35" s="8"/>
      <c r="F35" s="8"/>
    </row>
    <row r="36" spans="1:12" s="37" customFormat="1" x14ac:dyDescent="0.15">
      <c r="A36" s="8" t="s">
        <v>157</v>
      </c>
      <c r="B36" s="113" t="s">
        <v>147</v>
      </c>
      <c r="C36" s="8"/>
      <c r="D36" s="8"/>
      <c r="E36" s="8"/>
      <c r="F36" s="8"/>
    </row>
    <row r="37" spans="1:12" x14ac:dyDescent="0.15">
      <c r="A37" s="8" t="s">
        <v>181</v>
      </c>
      <c r="B37" s="113" t="s">
        <v>106</v>
      </c>
      <c r="C37" s="1"/>
      <c r="D37" s="8"/>
      <c r="E37" s="8"/>
      <c r="F37" s="8"/>
      <c r="H37" s="37"/>
      <c r="I37" s="37"/>
      <c r="J37" s="37"/>
      <c r="K37" s="37"/>
      <c r="L37" s="37"/>
    </row>
    <row r="38" spans="1:12" x14ac:dyDescent="0.15">
      <c r="A38" s="8" t="s">
        <v>182</v>
      </c>
      <c r="B38" s="113" t="s">
        <v>151</v>
      </c>
      <c r="C38" s="1"/>
      <c r="D38" s="8"/>
      <c r="E38" s="8"/>
      <c r="F38" s="8"/>
      <c r="H38" s="37"/>
      <c r="I38" s="37"/>
      <c r="J38" s="37"/>
      <c r="K38" s="37"/>
      <c r="L38" s="37"/>
    </row>
    <row r="39" spans="1:12" x14ac:dyDescent="0.15">
      <c r="A39" s="8" t="s">
        <v>184</v>
      </c>
      <c r="B39" s="113" t="s">
        <v>150</v>
      </c>
      <c r="C39" s="1"/>
      <c r="D39" s="8"/>
      <c r="E39" s="8"/>
      <c r="F39" s="8"/>
      <c r="H39" s="37"/>
      <c r="I39" s="37"/>
      <c r="J39" s="37"/>
      <c r="K39" s="37"/>
      <c r="L39" s="37"/>
    </row>
    <row r="40" spans="1:12" x14ac:dyDescent="0.15">
      <c r="A40" s="1"/>
      <c r="B40" s="1"/>
      <c r="C40" s="1"/>
      <c r="D40" s="8"/>
      <c r="E40" s="8"/>
      <c r="F40" s="8"/>
    </row>
    <row r="41" spans="1:12" x14ac:dyDescent="0.15">
      <c r="A41" s="1"/>
      <c r="B41" s="8"/>
      <c r="C41" s="1"/>
      <c r="D41" s="8"/>
      <c r="E41" s="8"/>
      <c r="F41" s="8"/>
    </row>
    <row r="42" spans="1:12" x14ac:dyDescent="0.15">
      <c r="A42" s="1"/>
      <c r="B42" s="8"/>
      <c r="C42" s="1"/>
      <c r="D42" s="8"/>
      <c r="E42" s="8"/>
      <c r="F42" s="8"/>
    </row>
    <row r="43" spans="1:12" x14ac:dyDescent="0.15">
      <c r="A43" s="8"/>
      <c r="B43" s="8"/>
      <c r="C43" s="8"/>
      <c r="D43" s="8"/>
      <c r="E43" s="8"/>
      <c r="F43" s="8"/>
    </row>
    <row r="44" spans="1:12" x14ac:dyDescent="0.15">
      <c r="A44" s="8"/>
      <c r="B44" s="8"/>
      <c r="C44" s="8"/>
      <c r="D44" s="8"/>
      <c r="E44" s="8"/>
      <c r="F44" s="8"/>
    </row>
    <row r="45" spans="1:12" x14ac:dyDescent="0.15">
      <c r="A45" s="8"/>
      <c r="B45" s="8"/>
      <c r="C45" s="8"/>
      <c r="D45" s="8"/>
      <c r="E45" s="8"/>
      <c r="F45" s="8"/>
    </row>
    <row r="46" spans="1:12" x14ac:dyDescent="0.15">
      <c r="A46" s="8"/>
      <c r="B46" s="8"/>
      <c r="C46" s="8"/>
      <c r="D46" s="8"/>
      <c r="E46" s="8"/>
      <c r="F46" s="8"/>
    </row>
  </sheetData>
  <hyperlinks>
    <hyperlink ref="A9" r:id="rId1"/>
    <hyperlink ref="A13" r:id="rId2"/>
    <hyperlink ref="D14" r:id="rId3" location="data/TP"/>
    <hyperlink ref="A8" r:id="rId4" location="data/QC"/>
    <hyperlink ref="A6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topLeftCell="A16" workbookViewId="0">
      <selection activeCell="A9" sqref="A9"/>
    </sheetView>
  </sheetViews>
  <sheetFormatPr defaultRowHeight="11.25" x14ac:dyDescent="0.15"/>
  <cols>
    <col min="1" max="1" width="12.875" customWidth="1"/>
  </cols>
  <sheetData>
    <row r="1" spans="1:23" ht="19.5" x14ac:dyDescent="0.25">
      <c r="A1" s="93" t="s">
        <v>204</v>
      </c>
      <c r="B1" s="37"/>
      <c r="C1" s="37"/>
      <c r="D1" s="37"/>
      <c r="E1" s="37"/>
      <c r="F1" s="37"/>
      <c r="G1" s="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x14ac:dyDescent="0.15">
      <c r="A2" s="94" t="s">
        <v>403</v>
      </c>
      <c r="B2" s="37"/>
      <c r="C2" s="37"/>
      <c r="D2" s="37"/>
      <c r="E2" s="95"/>
      <c r="F2" s="37"/>
      <c r="G2" s="8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x14ac:dyDescent="0.15">
      <c r="A3" s="94"/>
      <c r="B3" s="37"/>
      <c r="C3" s="37"/>
      <c r="D3" s="37"/>
      <c r="E3" s="37"/>
      <c r="F3" s="37"/>
      <c r="G3" s="8"/>
      <c r="H3" s="37"/>
      <c r="I3" s="37"/>
      <c r="J3" s="3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37"/>
    </row>
    <row r="4" spans="1:23" x14ac:dyDescent="0.15">
      <c r="A4" s="97" t="s">
        <v>139</v>
      </c>
      <c r="B4" s="12"/>
      <c r="C4" s="12"/>
      <c r="D4" s="12"/>
      <c r="E4" s="77"/>
      <c r="F4" s="96" t="s">
        <v>140</v>
      </c>
      <c r="G4" s="97"/>
      <c r="H4" s="12"/>
      <c r="I4" s="12"/>
      <c r="J4" s="12"/>
      <c r="K4" s="6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37"/>
    </row>
    <row r="5" spans="1:23" x14ac:dyDescent="0.15">
      <c r="A5" s="37"/>
      <c r="B5" s="98"/>
      <c r="C5" s="8"/>
      <c r="D5" s="8"/>
      <c r="E5" s="78"/>
      <c r="F5" s="67"/>
      <c r="G5" s="8"/>
      <c r="H5" s="8"/>
      <c r="I5" s="8"/>
      <c r="J5" s="8"/>
      <c r="K5" s="6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7"/>
    </row>
    <row r="6" spans="1:23" x14ac:dyDescent="0.15">
      <c r="A6" s="37"/>
      <c r="B6" s="95"/>
      <c r="C6" s="8"/>
      <c r="D6" s="8"/>
      <c r="E6" s="78"/>
      <c r="F6" s="8"/>
      <c r="G6" s="8"/>
      <c r="H6" s="8"/>
      <c r="I6" s="8"/>
      <c r="J6" s="8"/>
      <c r="K6" s="6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37"/>
    </row>
    <row r="7" spans="1:23" x14ac:dyDescent="0.15">
      <c r="A7" s="99"/>
      <c r="B7" s="100"/>
      <c r="C7" s="8"/>
      <c r="D7" s="8"/>
      <c r="E7" s="78"/>
      <c r="F7" s="67"/>
      <c r="G7" s="8"/>
      <c r="H7" s="8"/>
      <c r="I7" s="8"/>
      <c r="J7" s="8"/>
      <c r="K7" s="6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7"/>
    </row>
    <row r="8" spans="1:23" x14ac:dyDescent="0.15">
      <c r="A8" s="110" t="s">
        <v>141</v>
      </c>
      <c r="B8" s="8"/>
      <c r="C8" s="8"/>
      <c r="D8" s="8"/>
      <c r="E8" s="78"/>
      <c r="F8" s="67"/>
      <c r="G8" s="8"/>
      <c r="H8" s="8"/>
      <c r="I8" s="8"/>
      <c r="J8" s="8"/>
      <c r="K8" s="6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7"/>
    </row>
    <row r="9" spans="1:23" x14ac:dyDescent="0.15">
      <c r="A9" s="95"/>
      <c r="B9" s="8"/>
      <c r="C9" s="8"/>
      <c r="D9" s="8"/>
      <c r="E9" s="78"/>
      <c r="F9" s="67"/>
      <c r="G9" s="8"/>
      <c r="H9" s="79"/>
      <c r="I9" s="79"/>
      <c r="J9" s="79"/>
      <c r="K9" s="192"/>
      <c r="L9" s="79"/>
      <c r="M9" s="79"/>
      <c r="N9" s="79"/>
      <c r="O9" s="79"/>
      <c r="P9" s="79"/>
      <c r="Q9" s="79"/>
      <c r="R9" s="79"/>
      <c r="S9" s="79"/>
      <c r="T9" s="8"/>
      <c r="U9" s="8"/>
      <c r="V9" s="8"/>
      <c r="W9" s="37"/>
    </row>
    <row r="10" spans="1:23" x14ac:dyDescent="0.15">
      <c r="A10" s="99"/>
      <c r="B10" s="8"/>
      <c r="C10" s="8"/>
      <c r="D10" s="8"/>
      <c r="E10" s="78"/>
      <c r="F10" s="67"/>
      <c r="G10" s="8"/>
      <c r="H10" s="8"/>
      <c r="I10" s="8"/>
      <c r="J10" s="8"/>
      <c r="K10" s="6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37"/>
    </row>
    <row r="11" spans="1:23" x14ac:dyDescent="0.15">
      <c r="A11" s="8"/>
      <c r="B11" s="8"/>
      <c r="C11" s="8"/>
      <c r="D11" s="8"/>
      <c r="E11" s="78"/>
      <c r="F11" s="67"/>
      <c r="G11" s="8"/>
      <c r="H11" s="8"/>
      <c r="I11" s="8"/>
      <c r="J11" s="8"/>
      <c r="K11" s="6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7"/>
    </row>
    <row r="12" spans="1:23" x14ac:dyDescent="0.15">
      <c r="A12" s="37"/>
      <c r="B12" s="37"/>
      <c r="C12" s="37"/>
      <c r="D12" s="37"/>
      <c r="E12" s="78"/>
      <c r="F12" s="37"/>
      <c r="G12" s="37"/>
      <c r="H12" s="37"/>
      <c r="I12" s="8"/>
      <c r="J12" s="8"/>
      <c r="K12" s="6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7"/>
    </row>
    <row r="13" spans="1:23" x14ac:dyDescent="0.15">
      <c r="A13" s="95"/>
      <c r="B13" s="37"/>
      <c r="C13" s="37"/>
      <c r="D13" s="37"/>
      <c r="E13" s="78"/>
      <c r="F13" s="37"/>
      <c r="G13" s="37"/>
      <c r="H13" s="37"/>
      <c r="I13" s="8"/>
      <c r="J13" s="8"/>
      <c r="K13" s="6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7"/>
    </row>
    <row r="14" spans="1:23" x14ac:dyDescent="0.15">
      <c r="A14" s="37"/>
      <c r="B14" s="37"/>
      <c r="C14" s="37"/>
      <c r="D14" s="95"/>
      <c r="E14" s="78"/>
      <c r="F14" s="37"/>
      <c r="G14" s="37"/>
      <c r="H14" s="37"/>
      <c r="I14" s="8"/>
      <c r="J14" s="8"/>
      <c r="K14" s="6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7"/>
    </row>
    <row r="15" spans="1:23" x14ac:dyDescent="0.15">
      <c r="A15" s="8"/>
      <c r="B15" s="8"/>
      <c r="C15" s="8"/>
      <c r="D15" s="8"/>
      <c r="E15" s="78"/>
      <c r="F15" s="67"/>
      <c r="G15" s="8"/>
      <c r="H15" s="8"/>
      <c r="I15" s="8"/>
      <c r="J15" s="8"/>
      <c r="K15" s="6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37"/>
    </row>
    <row r="16" spans="1:23" x14ac:dyDescent="0.15">
      <c r="A16" s="8"/>
      <c r="B16" s="8"/>
      <c r="C16" s="8"/>
      <c r="D16" s="8"/>
      <c r="E16" s="78"/>
      <c r="F16" s="67"/>
      <c r="G16" s="8"/>
      <c r="H16" s="8"/>
      <c r="I16" s="8"/>
      <c r="J16" s="8"/>
      <c r="K16" s="6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37"/>
    </row>
    <row r="17" spans="1:23" x14ac:dyDescent="0.15">
      <c r="A17" s="8"/>
      <c r="B17" s="8"/>
      <c r="C17" s="8"/>
      <c r="D17" s="8"/>
      <c r="E17" s="78"/>
      <c r="F17" s="67"/>
      <c r="G17" s="8"/>
      <c r="H17" s="8"/>
      <c r="I17" s="8"/>
      <c r="J17" s="8"/>
      <c r="K17" s="6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7"/>
    </row>
    <row r="18" spans="1:23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30"/>
      <c r="K18" s="6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7"/>
    </row>
    <row r="19" spans="1:23" x14ac:dyDescent="0.15">
      <c r="A19" s="94"/>
      <c r="B19" s="37"/>
      <c r="C19" s="99"/>
      <c r="D19" s="37"/>
      <c r="E19" s="37"/>
      <c r="F19" s="37"/>
      <c r="G19" s="8"/>
      <c r="H19" s="99"/>
      <c r="I19" s="37"/>
      <c r="J19" s="37"/>
      <c r="K19" s="8"/>
      <c r="L19" s="8"/>
      <c r="M19" s="8"/>
      <c r="N19" s="8"/>
      <c r="O19" s="8"/>
      <c r="P19" s="8"/>
      <c r="Q19" s="8"/>
      <c r="R19" s="191"/>
      <c r="S19" s="8"/>
      <c r="T19" s="8"/>
      <c r="U19" s="8"/>
      <c r="V19" s="8"/>
      <c r="W19" s="37"/>
    </row>
    <row r="20" spans="1:23" x14ac:dyDescent="0.15">
      <c r="A20" s="22" t="s">
        <v>118</v>
      </c>
      <c r="B20" s="84" t="s">
        <v>43</v>
      </c>
      <c r="C20" s="84"/>
      <c r="D20" s="84"/>
      <c r="E20" s="84"/>
      <c r="F20" s="84"/>
      <c r="G20" s="84"/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3" x14ac:dyDescent="0.15">
      <c r="A21" s="106"/>
      <c r="B21" s="107" t="s">
        <v>27</v>
      </c>
      <c r="C21" s="108"/>
      <c r="D21" s="108"/>
      <c r="E21" s="108"/>
      <c r="F21" s="108"/>
      <c r="G21" s="108"/>
      <c r="H21" s="8"/>
      <c r="I21" s="8"/>
      <c r="J21" s="8"/>
      <c r="K21" s="8"/>
      <c r="L21" s="8"/>
      <c r="M21" s="8"/>
      <c r="N21" s="8"/>
      <c r="O21" s="1"/>
    </row>
    <row r="22" spans="1:23" ht="12" thickBot="1" x14ac:dyDescent="0.2">
      <c r="A22" s="60" t="s">
        <v>59</v>
      </c>
      <c r="B22" s="64" t="s">
        <v>100</v>
      </c>
      <c r="C22" s="64" t="s">
        <v>99</v>
      </c>
      <c r="D22" s="64" t="s">
        <v>101</v>
      </c>
      <c r="E22" s="64" t="s">
        <v>102</v>
      </c>
      <c r="F22" s="64" t="s">
        <v>104</v>
      </c>
      <c r="G22" s="64" t="s">
        <v>105</v>
      </c>
      <c r="H22" s="65" t="s">
        <v>153</v>
      </c>
      <c r="I22" s="65" t="s">
        <v>154</v>
      </c>
      <c r="J22" s="65" t="s">
        <v>359</v>
      </c>
      <c r="K22" s="65" t="s">
        <v>360</v>
      </c>
      <c r="L22" s="65" t="s">
        <v>103</v>
      </c>
      <c r="M22" s="65" t="s">
        <v>156</v>
      </c>
      <c r="N22" s="65" t="s">
        <v>229</v>
      </c>
      <c r="O22" s="65" t="s">
        <v>157</v>
      </c>
      <c r="P22" s="65" t="s">
        <v>181</v>
      </c>
      <c r="Q22" s="65" t="s">
        <v>182</v>
      </c>
      <c r="R22" s="65" t="s">
        <v>184</v>
      </c>
    </row>
    <row r="23" spans="1:23" x14ac:dyDescent="0.15">
      <c r="A23" t="s">
        <v>166</v>
      </c>
      <c r="B23" s="92">
        <v>0.3</v>
      </c>
      <c r="C23" s="87">
        <v>0.3</v>
      </c>
      <c r="D23" s="87">
        <v>0.3</v>
      </c>
      <c r="E23" s="87">
        <v>0.3</v>
      </c>
      <c r="F23" s="87">
        <v>0.3</v>
      </c>
      <c r="G23" s="87">
        <v>0.3</v>
      </c>
      <c r="H23" s="87">
        <v>0.3</v>
      </c>
      <c r="I23" s="87">
        <v>0.3</v>
      </c>
      <c r="J23" s="87">
        <v>0.3</v>
      </c>
      <c r="K23" s="87">
        <v>0.3</v>
      </c>
      <c r="L23" s="87">
        <v>0.3</v>
      </c>
      <c r="M23" s="87">
        <v>0.3</v>
      </c>
      <c r="N23" s="87">
        <v>0.3</v>
      </c>
      <c r="O23" s="87">
        <v>0.3</v>
      </c>
      <c r="P23" s="87">
        <v>0.3</v>
      </c>
      <c r="Q23" s="87">
        <v>0.3</v>
      </c>
      <c r="R23" s="87">
        <v>0.3</v>
      </c>
    </row>
    <row r="24" spans="1:23" x14ac:dyDescent="0.15">
      <c r="A24" t="s">
        <v>167</v>
      </c>
      <c r="B24" s="87">
        <v>0.3</v>
      </c>
      <c r="C24" s="87">
        <v>0.3</v>
      </c>
      <c r="D24" s="87">
        <v>0.3</v>
      </c>
      <c r="E24" s="87">
        <v>0.3</v>
      </c>
      <c r="F24" s="87">
        <v>0.3</v>
      </c>
      <c r="G24" s="87">
        <v>0.3</v>
      </c>
      <c r="H24" s="87">
        <v>0.3</v>
      </c>
      <c r="I24" s="87">
        <v>0.3</v>
      </c>
      <c r="J24" s="87">
        <v>0.3</v>
      </c>
      <c r="K24" s="87">
        <v>0.3</v>
      </c>
      <c r="L24" s="87">
        <v>0.3</v>
      </c>
      <c r="M24" s="87">
        <v>0.3</v>
      </c>
      <c r="N24" s="87">
        <v>0.3</v>
      </c>
      <c r="O24" s="87">
        <v>0.3</v>
      </c>
      <c r="P24" s="87">
        <v>0.3</v>
      </c>
      <c r="Q24" s="87">
        <v>0.3</v>
      </c>
      <c r="R24" s="87">
        <v>0.3</v>
      </c>
    </row>
    <row r="25" spans="1:23" x14ac:dyDescent="0.15">
      <c r="A25" t="s">
        <v>168</v>
      </c>
      <c r="B25" s="87">
        <v>0.3</v>
      </c>
      <c r="C25" s="87">
        <v>0.3</v>
      </c>
      <c r="D25" s="87">
        <v>0.3</v>
      </c>
      <c r="E25" s="87">
        <v>0.3</v>
      </c>
      <c r="F25" s="87">
        <v>0.3</v>
      </c>
      <c r="G25" s="87">
        <v>0.3</v>
      </c>
      <c r="H25" s="87">
        <v>0.3</v>
      </c>
      <c r="I25" s="87">
        <v>0.3</v>
      </c>
      <c r="J25" s="87">
        <v>0.3</v>
      </c>
      <c r="K25" s="87">
        <v>0.3</v>
      </c>
      <c r="L25" s="87">
        <v>0.3</v>
      </c>
      <c r="M25" s="87">
        <v>0.3</v>
      </c>
      <c r="N25" s="87">
        <v>0.3</v>
      </c>
      <c r="O25" s="87">
        <v>0.3</v>
      </c>
      <c r="P25" s="87">
        <v>0.3</v>
      </c>
      <c r="Q25" s="87">
        <v>0.3</v>
      </c>
      <c r="R25" s="87">
        <v>0.3</v>
      </c>
    </row>
    <row r="26" spans="1:23" x14ac:dyDescent="0.15">
      <c r="A26" t="s">
        <v>169</v>
      </c>
      <c r="B26" s="87">
        <v>0.3</v>
      </c>
      <c r="C26" s="87">
        <v>0.3</v>
      </c>
      <c r="D26" s="87">
        <v>0.3</v>
      </c>
      <c r="E26" s="87">
        <v>0.3</v>
      </c>
      <c r="F26" s="87">
        <v>0.3</v>
      </c>
      <c r="G26" s="87">
        <v>0.3</v>
      </c>
      <c r="H26" s="87">
        <v>0.3</v>
      </c>
      <c r="I26" s="87">
        <v>0.3</v>
      </c>
      <c r="J26" s="87">
        <v>0.3</v>
      </c>
      <c r="K26" s="87">
        <v>0.3</v>
      </c>
      <c r="L26" s="87">
        <v>0.3</v>
      </c>
      <c r="M26" s="87">
        <v>0.3</v>
      </c>
      <c r="N26" s="87">
        <v>0.3</v>
      </c>
      <c r="O26" s="87">
        <v>0.3</v>
      </c>
      <c r="P26" s="87">
        <v>0.3</v>
      </c>
      <c r="Q26" s="87">
        <v>0.3</v>
      </c>
      <c r="R26" s="87">
        <v>0.3</v>
      </c>
    </row>
    <row r="27" spans="1:23" x14ac:dyDescent="0.15">
      <c r="A27" t="s">
        <v>170</v>
      </c>
      <c r="B27" s="87">
        <v>0.3</v>
      </c>
      <c r="C27" s="87">
        <v>0.3</v>
      </c>
      <c r="D27" s="87">
        <v>0.3</v>
      </c>
      <c r="E27" s="87">
        <v>0.3</v>
      </c>
      <c r="F27" s="87">
        <v>0.3</v>
      </c>
      <c r="G27" s="87">
        <v>0.3</v>
      </c>
      <c r="H27" s="87">
        <v>0.3</v>
      </c>
      <c r="I27" s="87">
        <v>0.3</v>
      </c>
      <c r="J27" s="87">
        <v>0.3</v>
      </c>
      <c r="K27" s="87">
        <v>0.3</v>
      </c>
      <c r="L27" s="87">
        <v>0.3</v>
      </c>
      <c r="M27" s="87">
        <v>0.3</v>
      </c>
      <c r="N27" s="87">
        <v>0.3</v>
      </c>
      <c r="O27" s="87">
        <v>0.3</v>
      </c>
      <c r="P27" s="87">
        <v>0.3</v>
      </c>
      <c r="Q27" s="87">
        <v>0.3</v>
      </c>
      <c r="R27" s="87">
        <v>0.3</v>
      </c>
    </row>
    <row r="28" spans="1:23" x14ac:dyDescent="0.15">
      <c r="A28" s="16" t="s">
        <v>171</v>
      </c>
      <c r="B28" s="104">
        <v>0.3</v>
      </c>
      <c r="C28" s="104">
        <v>0.3</v>
      </c>
      <c r="D28" s="104">
        <v>0.3</v>
      </c>
      <c r="E28" s="104">
        <v>0.3</v>
      </c>
      <c r="F28" s="104">
        <v>0.3</v>
      </c>
      <c r="G28" s="104">
        <v>0.3</v>
      </c>
      <c r="H28" s="104">
        <v>0.3</v>
      </c>
      <c r="I28" s="104">
        <v>0.3</v>
      </c>
      <c r="J28" s="104">
        <v>0.3</v>
      </c>
      <c r="K28" s="104">
        <v>0.3</v>
      </c>
      <c r="L28" s="104">
        <v>0.3</v>
      </c>
      <c r="M28" s="104">
        <v>0.3</v>
      </c>
      <c r="N28" s="104">
        <v>0.3</v>
      </c>
      <c r="O28" s="104">
        <v>0.3</v>
      </c>
      <c r="P28" s="104">
        <v>0.3</v>
      </c>
      <c r="Q28" s="104">
        <v>0.3</v>
      </c>
      <c r="R28" s="104">
        <v>0.3</v>
      </c>
    </row>
    <row r="29" spans="1:23" x14ac:dyDescent="0.15">
      <c r="A29" t="s">
        <v>172</v>
      </c>
      <c r="B29" s="87">
        <v>0.3</v>
      </c>
      <c r="C29" s="87">
        <v>0.3</v>
      </c>
      <c r="D29" s="87">
        <v>0.3</v>
      </c>
      <c r="E29" s="87">
        <v>0.3</v>
      </c>
      <c r="F29" s="87">
        <v>0.3</v>
      </c>
      <c r="G29" s="87">
        <v>0.3</v>
      </c>
      <c r="H29" s="87">
        <v>0.3</v>
      </c>
      <c r="I29" s="87">
        <v>0.3</v>
      </c>
      <c r="J29" s="87">
        <v>0.3</v>
      </c>
      <c r="K29" s="87">
        <v>0.3</v>
      </c>
      <c r="L29" s="87">
        <v>0.3</v>
      </c>
      <c r="M29" s="87">
        <v>0.3</v>
      </c>
      <c r="N29" s="87">
        <v>0.3</v>
      </c>
      <c r="O29" s="87">
        <v>0.3</v>
      </c>
      <c r="P29" s="87">
        <v>0.3</v>
      </c>
      <c r="Q29" s="87">
        <v>0.3</v>
      </c>
      <c r="R29" s="87">
        <v>0.3</v>
      </c>
    </row>
    <row r="30" spans="1:23" x14ac:dyDescent="0.15">
      <c r="A30" t="s">
        <v>173</v>
      </c>
      <c r="B30" s="87">
        <v>0.3</v>
      </c>
      <c r="C30" s="87">
        <v>0.3</v>
      </c>
      <c r="D30" s="87">
        <v>0.3</v>
      </c>
      <c r="E30" s="87">
        <v>0.3</v>
      </c>
      <c r="F30" s="87">
        <v>0.3</v>
      </c>
      <c r="G30" s="87">
        <v>0.3</v>
      </c>
      <c r="H30" s="87">
        <v>0.3</v>
      </c>
      <c r="I30" s="87">
        <v>0.3</v>
      </c>
      <c r="J30" s="87">
        <v>0.3</v>
      </c>
      <c r="K30" s="87">
        <v>0.3</v>
      </c>
      <c r="L30" s="87">
        <v>0.3</v>
      </c>
      <c r="M30" s="87">
        <v>0.3</v>
      </c>
      <c r="N30" s="87">
        <v>0.3</v>
      </c>
      <c r="O30" s="87">
        <v>0.3</v>
      </c>
      <c r="P30" s="87">
        <v>0.3</v>
      </c>
      <c r="Q30" s="87">
        <v>0.3</v>
      </c>
      <c r="R30" s="87">
        <v>0.3</v>
      </c>
    </row>
    <row r="31" spans="1:23" x14ac:dyDescent="0.15">
      <c r="A31" t="s">
        <v>174</v>
      </c>
      <c r="B31" s="87">
        <v>0.3</v>
      </c>
      <c r="C31" s="87">
        <v>0.3</v>
      </c>
      <c r="D31" s="87">
        <v>0.3</v>
      </c>
      <c r="E31" s="87">
        <v>0.3</v>
      </c>
      <c r="F31" s="87">
        <v>0.3</v>
      </c>
      <c r="G31" s="87">
        <v>0.3</v>
      </c>
      <c r="H31" s="87">
        <v>0.3</v>
      </c>
      <c r="I31" s="87">
        <v>0.3</v>
      </c>
      <c r="J31" s="87">
        <v>0.3</v>
      </c>
      <c r="K31" s="87">
        <v>0.3</v>
      </c>
      <c r="L31" s="87">
        <v>0.3</v>
      </c>
      <c r="M31" s="87">
        <v>0.3</v>
      </c>
      <c r="N31" s="87">
        <v>0.3</v>
      </c>
      <c r="O31" s="87">
        <v>0.3</v>
      </c>
      <c r="P31" s="87">
        <v>0.3</v>
      </c>
      <c r="Q31" s="87">
        <v>0.3</v>
      </c>
      <c r="R31" s="87">
        <v>0.3</v>
      </c>
    </row>
    <row r="32" spans="1:23" x14ac:dyDescent="0.15">
      <c r="A32" t="s">
        <v>175</v>
      </c>
      <c r="B32" s="87">
        <v>0.3</v>
      </c>
      <c r="C32" s="87">
        <v>0.3</v>
      </c>
      <c r="D32" s="87">
        <v>0.3</v>
      </c>
      <c r="E32" s="87">
        <v>0.3</v>
      </c>
      <c r="F32" s="87">
        <v>0.3</v>
      </c>
      <c r="G32" s="87">
        <v>0.3</v>
      </c>
      <c r="H32" s="87">
        <v>0.3</v>
      </c>
      <c r="I32" s="87">
        <v>0.3</v>
      </c>
      <c r="J32" s="87">
        <v>0.3</v>
      </c>
      <c r="K32" s="87">
        <v>0.3</v>
      </c>
      <c r="L32" s="87">
        <v>0.3</v>
      </c>
      <c r="M32" s="87">
        <v>0.3</v>
      </c>
      <c r="N32" s="87">
        <v>0.3</v>
      </c>
      <c r="O32" s="87">
        <v>0.3</v>
      </c>
      <c r="P32" s="87">
        <v>0.3</v>
      </c>
      <c r="Q32" s="87">
        <v>0.3</v>
      </c>
      <c r="R32" s="87">
        <v>0.3</v>
      </c>
    </row>
    <row r="33" spans="1:18" x14ac:dyDescent="0.15">
      <c r="A33" t="s">
        <v>176</v>
      </c>
      <c r="B33" s="87">
        <v>0.3</v>
      </c>
      <c r="C33" s="87">
        <v>0.3</v>
      </c>
      <c r="D33" s="87">
        <v>0.3</v>
      </c>
      <c r="E33" s="87">
        <v>0.3</v>
      </c>
      <c r="F33" s="87">
        <v>0.3</v>
      </c>
      <c r="G33" s="87">
        <v>0.3</v>
      </c>
      <c r="H33" s="87">
        <v>0.3</v>
      </c>
      <c r="I33" s="87">
        <v>0.3</v>
      </c>
      <c r="J33" s="87">
        <v>0.3</v>
      </c>
      <c r="K33" s="87">
        <v>0.3</v>
      </c>
      <c r="L33" s="87">
        <v>0.3</v>
      </c>
      <c r="M33" s="87">
        <v>0.3</v>
      </c>
      <c r="N33" s="87">
        <v>0.3</v>
      </c>
      <c r="O33" s="87">
        <v>0.3</v>
      </c>
      <c r="P33" s="87">
        <v>0.3</v>
      </c>
      <c r="Q33" s="87">
        <v>0.3</v>
      </c>
      <c r="R33" s="87">
        <v>0.3</v>
      </c>
    </row>
    <row r="34" spans="1:18" x14ac:dyDescent="0.15">
      <c r="A34" t="s">
        <v>177</v>
      </c>
      <c r="B34" s="87">
        <v>0.3</v>
      </c>
      <c r="C34" s="87">
        <v>0.3</v>
      </c>
      <c r="D34" s="87">
        <v>0.3</v>
      </c>
      <c r="E34" s="87">
        <v>0.3</v>
      </c>
      <c r="F34" s="87">
        <v>0.3</v>
      </c>
      <c r="G34" s="87">
        <v>0.3</v>
      </c>
      <c r="H34" s="87">
        <v>0.3</v>
      </c>
      <c r="I34" s="87">
        <v>0.3</v>
      </c>
      <c r="J34" s="87">
        <v>0.3</v>
      </c>
      <c r="K34" s="87">
        <v>0.3</v>
      </c>
      <c r="L34" s="87">
        <v>0.3</v>
      </c>
      <c r="M34" s="87">
        <v>0.3</v>
      </c>
      <c r="N34" s="87">
        <v>0.3</v>
      </c>
      <c r="O34" s="87">
        <v>0.3</v>
      </c>
      <c r="P34" s="87">
        <v>0.3</v>
      </c>
      <c r="Q34" s="87">
        <v>0.3</v>
      </c>
      <c r="R34" s="87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topLeftCell="A22" workbookViewId="0">
      <selection activeCell="G37" sqref="G37"/>
    </sheetView>
  </sheetViews>
  <sheetFormatPr defaultRowHeight="11.25" x14ac:dyDescent="0.15"/>
  <cols>
    <col min="1" max="1" width="12.75" customWidth="1"/>
  </cols>
  <sheetData>
    <row r="1" spans="1:22" ht="19.5" x14ac:dyDescent="0.25">
      <c r="A1" s="93" t="s">
        <v>178</v>
      </c>
      <c r="B1" s="37"/>
      <c r="C1" s="37"/>
      <c r="D1" s="37"/>
      <c r="E1" s="37"/>
      <c r="F1" s="37"/>
      <c r="G1" s="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15">
      <c r="A2" s="94" t="s">
        <v>402</v>
      </c>
      <c r="B2" s="37"/>
      <c r="C2" s="37"/>
      <c r="D2" s="37"/>
      <c r="E2" s="95"/>
      <c r="F2" s="37"/>
      <c r="G2" s="8"/>
      <c r="H2" s="37"/>
      <c r="I2" s="37"/>
      <c r="J2" s="37"/>
      <c r="K2" s="37"/>
      <c r="L2" s="37"/>
      <c r="M2" s="37"/>
      <c r="N2" s="8"/>
      <c r="O2" s="8"/>
      <c r="P2" s="8"/>
      <c r="Q2" s="8"/>
      <c r="R2" s="8"/>
      <c r="S2" s="8"/>
      <c r="T2" s="8"/>
      <c r="U2" s="8"/>
      <c r="V2" s="37"/>
    </row>
    <row r="3" spans="1:22" x14ac:dyDescent="0.15">
      <c r="A3" s="94"/>
      <c r="B3" s="37"/>
      <c r="C3" s="37"/>
      <c r="D3" s="37"/>
      <c r="E3" s="37"/>
      <c r="F3" s="37"/>
      <c r="G3" s="8"/>
      <c r="H3" s="37"/>
      <c r="I3" s="37"/>
      <c r="J3" s="37"/>
      <c r="K3" s="37"/>
      <c r="L3" s="37"/>
      <c r="M3" s="37"/>
      <c r="N3" s="8"/>
      <c r="O3" s="8"/>
      <c r="P3" s="8"/>
      <c r="Q3" s="8"/>
      <c r="R3" s="8"/>
      <c r="S3" s="8"/>
      <c r="T3" s="8"/>
      <c r="U3" s="8"/>
      <c r="V3" s="37"/>
    </row>
    <row r="4" spans="1:22" x14ac:dyDescent="0.15">
      <c r="A4" s="97" t="s">
        <v>139</v>
      </c>
      <c r="B4" s="12"/>
      <c r="C4" s="12"/>
      <c r="D4" s="12"/>
      <c r="E4" s="77"/>
      <c r="F4" s="96" t="s">
        <v>140</v>
      </c>
      <c r="G4" s="12"/>
      <c r="H4" s="12"/>
      <c r="I4" s="12"/>
      <c r="J4" s="77"/>
      <c r="N4" s="1"/>
      <c r="O4" s="8"/>
      <c r="P4" s="8"/>
      <c r="Q4" s="8"/>
      <c r="R4" s="8"/>
      <c r="S4" s="8"/>
      <c r="T4" s="8"/>
      <c r="U4" s="8"/>
      <c r="V4" s="37"/>
    </row>
    <row r="5" spans="1:22" x14ac:dyDescent="0.15">
      <c r="A5" s="37"/>
      <c r="B5" s="98"/>
      <c r="C5" s="8"/>
      <c r="D5" s="8"/>
      <c r="E5" s="78"/>
      <c r="F5" s="67"/>
      <c r="G5" s="8"/>
      <c r="H5" s="8"/>
      <c r="I5" s="8"/>
      <c r="J5" s="78"/>
      <c r="N5" s="1"/>
      <c r="O5" s="8"/>
      <c r="P5" s="8"/>
      <c r="Q5" s="8"/>
      <c r="R5" s="8"/>
      <c r="S5" s="8"/>
      <c r="T5" s="8"/>
      <c r="U5" s="8"/>
      <c r="V5" s="37"/>
    </row>
    <row r="6" spans="1:22" ht="14.45" customHeight="1" x14ac:dyDescent="0.15">
      <c r="A6" s="194" t="s">
        <v>386</v>
      </c>
      <c r="B6" s="95"/>
      <c r="C6" s="8"/>
      <c r="D6" s="8"/>
      <c r="E6" s="78"/>
      <c r="F6" s="8"/>
      <c r="G6" s="8"/>
      <c r="H6" s="8"/>
      <c r="I6" s="8"/>
      <c r="J6" s="78"/>
      <c r="N6" s="1"/>
      <c r="O6" s="8"/>
      <c r="P6" s="8"/>
      <c r="Q6" s="8"/>
      <c r="R6" s="8"/>
      <c r="S6" s="8"/>
      <c r="T6" s="8"/>
      <c r="U6" s="8"/>
      <c r="V6" s="37"/>
    </row>
    <row r="7" spans="1:22" x14ac:dyDescent="0.15">
      <c r="A7" s="98" t="s">
        <v>387</v>
      </c>
      <c r="B7" s="100"/>
      <c r="C7" s="8"/>
      <c r="D7" s="8"/>
      <c r="E7" s="78"/>
      <c r="F7" s="67"/>
      <c r="G7" s="8"/>
      <c r="H7" s="8"/>
      <c r="I7" s="8"/>
      <c r="J7" s="78"/>
      <c r="N7" s="1"/>
      <c r="O7" s="8"/>
      <c r="P7" s="8"/>
      <c r="Q7" s="8"/>
      <c r="R7" s="8"/>
      <c r="S7" s="8"/>
      <c r="T7" s="8"/>
      <c r="U7" s="8"/>
      <c r="V7" s="37"/>
    </row>
    <row r="8" spans="1:22" x14ac:dyDescent="0.15">
      <c r="A8" s="8"/>
      <c r="B8" s="8"/>
      <c r="C8" s="8"/>
      <c r="D8" s="8"/>
      <c r="E8" s="78"/>
      <c r="F8" s="67"/>
      <c r="G8" s="8"/>
      <c r="H8" s="8"/>
      <c r="I8" s="8"/>
      <c r="J8" s="78"/>
      <c r="N8" s="1"/>
      <c r="O8" s="8"/>
      <c r="P8" s="8"/>
      <c r="Q8" s="8"/>
      <c r="R8" s="8"/>
      <c r="S8" s="8"/>
      <c r="T8" s="8"/>
      <c r="U8" s="8"/>
      <c r="V8" s="37"/>
    </row>
    <row r="9" spans="1:22" x14ac:dyDescent="0.15">
      <c r="A9" s="95"/>
      <c r="B9" s="8"/>
      <c r="C9" s="8"/>
      <c r="D9" s="8"/>
      <c r="E9" s="78"/>
      <c r="F9" s="67"/>
      <c r="G9" s="79"/>
      <c r="H9" s="79"/>
      <c r="I9" s="79"/>
      <c r="J9" s="193"/>
      <c r="N9" s="1"/>
      <c r="O9" s="79"/>
      <c r="P9" s="79"/>
      <c r="Q9" s="79"/>
      <c r="R9" s="8"/>
      <c r="S9" s="8"/>
      <c r="T9" s="8"/>
      <c r="U9" s="8"/>
      <c r="V9" s="37"/>
    </row>
    <row r="10" spans="1:22" x14ac:dyDescent="0.15">
      <c r="A10" s="99"/>
      <c r="B10" s="8"/>
      <c r="C10" s="8"/>
      <c r="D10" s="8"/>
      <c r="E10" s="78"/>
      <c r="F10" s="8"/>
      <c r="G10" s="8"/>
      <c r="H10" s="8"/>
      <c r="I10" s="8"/>
      <c r="J10" s="78"/>
      <c r="N10" s="1"/>
      <c r="O10" s="8"/>
      <c r="P10" s="8"/>
      <c r="Q10" s="8"/>
      <c r="R10" s="8"/>
      <c r="S10" s="8"/>
      <c r="T10" s="8"/>
      <c r="U10" s="8"/>
      <c r="V10" s="37"/>
    </row>
    <row r="11" spans="1:22" x14ac:dyDescent="0.15">
      <c r="A11" s="8"/>
      <c r="B11" s="8"/>
      <c r="C11" s="8"/>
      <c r="D11" s="8"/>
      <c r="E11" s="78"/>
      <c r="F11" s="8"/>
      <c r="G11" s="8"/>
      <c r="H11" s="8"/>
      <c r="I11" s="8"/>
      <c r="J11" s="78"/>
      <c r="N11" s="1"/>
      <c r="O11" s="8"/>
      <c r="P11" s="8"/>
      <c r="Q11" s="8"/>
      <c r="R11" s="8"/>
      <c r="S11" s="8"/>
      <c r="T11" s="8"/>
      <c r="U11" s="8"/>
      <c r="V11" s="37"/>
    </row>
    <row r="12" spans="1:22" x14ac:dyDescent="0.15">
      <c r="A12" s="37"/>
      <c r="B12" s="37"/>
      <c r="C12" s="37"/>
      <c r="D12" s="37"/>
      <c r="E12" s="78"/>
      <c r="F12" s="37"/>
      <c r="G12" s="37"/>
      <c r="H12" s="8"/>
      <c r="I12" s="8"/>
      <c r="J12" s="78"/>
      <c r="N12" s="1"/>
      <c r="O12" s="8"/>
      <c r="P12" s="8"/>
      <c r="Q12" s="8"/>
      <c r="R12" s="8"/>
      <c r="S12" s="8"/>
      <c r="T12" s="8"/>
      <c r="U12" s="8"/>
      <c r="V12" s="37"/>
    </row>
    <row r="13" spans="1:22" x14ac:dyDescent="0.15">
      <c r="A13" s="95"/>
      <c r="B13" s="37"/>
      <c r="C13" s="37"/>
      <c r="D13" s="37"/>
      <c r="E13" s="78"/>
      <c r="F13" s="37"/>
      <c r="G13" s="37"/>
      <c r="H13" s="8"/>
      <c r="I13" s="8"/>
      <c r="J13" s="78"/>
      <c r="N13" s="1"/>
      <c r="O13" s="8"/>
      <c r="P13" s="8"/>
      <c r="Q13" s="8"/>
      <c r="R13" s="8"/>
      <c r="S13" s="8"/>
      <c r="T13" s="8"/>
      <c r="U13" s="8"/>
      <c r="V13" s="37"/>
    </row>
    <row r="14" spans="1:22" x14ac:dyDescent="0.15">
      <c r="A14" s="37"/>
      <c r="B14" s="37"/>
      <c r="C14" s="37"/>
      <c r="D14" s="95"/>
      <c r="E14" s="78"/>
      <c r="F14" s="37"/>
      <c r="G14" s="37"/>
      <c r="H14" s="8"/>
      <c r="I14" s="8"/>
      <c r="J14" s="78"/>
      <c r="N14" s="1"/>
      <c r="O14" s="8"/>
      <c r="P14" s="8"/>
      <c r="Q14" s="8"/>
      <c r="R14" s="8"/>
      <c r="S14" s="8"/>
      <c r="T14" s="8"/>
      <c r="U14" s="8"/>
      <c r="V14" s="37"/>
    </row>
    <row r="15" spans="1:22" x14ac:dyDescent="0.15">
      <c r="A15" s="8"/>
      <c r="B15" s="8"/>
      <c r="C15" s="8"/>
      <c r="D15" s="8"/>
      <c r="E15" s="78"/>
      <c r="F15" s="8"/>
      <c r="G15" s="8"/>
      <c r="H15" s="8"/>
      <c r="I15" s="8"/>
      <c r="J15" s="78"/>
      <c r="N15" s="1"/>
      <c r="O15" s="8"/>
      <c r="P15" s="8"/>
      <c r="Q15" s="8"/>
      <c r="R15" s="8"/>
      <c r="S15" s="8"/>
      <c r="T15" s="8"/>
      <c r="U15" s="8"/>
      <c r="V15" s="37"/>
    </row>
    <row r="16" spans="1:22" x14ac:dyDescent="0.15">
      <c r="A16" s="8"/>
      <c r="B16" s="8"/>
      <c r="C16" s="8"/>
      <c r="D16" s="8"/>
      <c r="E16" s="78"/>
      <c r="F16" s="8"/>
      <c r="G16" s="8"/>
      <c r="H16" s="8"/>
      <c r="I16" s="8"/>
      <c r="J16" s="78"/>
      <c r="N16" s="1"/>
      <c r="O16" s="8"/>
      <c r="P16" s="8"/>
      <c r="Q16" s="8"/>
      <c r="R16" s="8"/>
      <c r="S16" s="8"/>
      <c r="T16" s="8"/>
      <c r="U16" s="8"/>
      <c r="V16" s="37"/>
    </row>
    <row r="17" spans="1:22" x14ac:dyDescent="0.15">
      <c r="A17" s="8"/>
      <c r="B17" s="8"/>
      <c r="C17" s="8"/>
      <c r="D17" s="8"/>
      <c r="E17" s="78"/>
      <c r="F17" s="67"/>
      <c r="G17" s="8"/>
      <c r="H17" s="8"/>
      <c r="I17" s="8"/>
      <c r="J17" s="78"/>
      <c r="N17" s="1"/>
      <c r="O17" s="8"/>
      <c r="P17" s="8"/>
      <c r="Q17" s="8"/>
      <c r="R17" s="8"/>
      <c r="S17" s="8"/>
      <c r="T17" s="8"/>
      <c r="U17" s="8"/>
      <c r="V17" s="37"/>
    </row>
    <row r="18" spans="1:22" x14ac:dyDescent="0.15">
      <c r="A18" s="30"/>
      <c r="B18" s="30"/>
      <c r="C18" s="30"/>
      <c r="D18" s="30"/>
      <c r="E18" s="76"/>
      <c r="F18" s="75"/>
      <c r="G18" s="30"/>
      <c r="H18" s="30"/>
      <c r="I18" s="30"/>
      <c r="J18" s="76"/>
      <c r="N18" s="1"/>
      <c r="O18" s="8"/>
      <c r="P18" s="8"/>
      <c r="Q18" s="8"/>
      <c r="R18" s="8"/>
      <c r="S18" s="8"/>
      <c r="T18" s="8"/>
      <c r="U18" s="8"/>
      <c r="V18" s="37"/>
    </row>
    <row r="19" spans="1:22" x14ac:dyDescent="0.15">
      <c r="A19" s="94"/>
      <c r="B19" s="37"/>
      <c r="C19" s="99"/>
      <c r="D19" s="37"/>
      <c r="E19" s="37"/>
      <c r="F19" s="37"/>
      <c r="G19" s="8"/>
      <c r="H19" s="99"/>
      <c r="I19" s="37"/>
      <c r="J19" s="37"/>
      <c r="K19" s="37"/>
      <c r="L19" s="37"/>
      <c r="M19" s="37"/>
      <c r="N19" s="8"/>
      <c r="O19" s="8"/>
      <c r="P19" s="191"/>
      <c r="Q19" s="8"/>
      <c r="R19" s="8"/>
      <c r="S19" s="8"/>
      <c r="T19" s="8"/>
      <c r="U19" s="8"/>
      <c r="V19" s="37"/>
    </row>
    <row r="20" spans="1:22" ht="22.5" x14ac:dyDescent="0.15">
      <c r="A20" s="84" t="s">
        <v>118</v>
      </c>
      <c r="B20" s="84" t="s">
        <v>179</v>
      </c>
      <c r="C20" s="84"/>
      <c r="D20" s="84"/>
      <c r="E20" s="84"/>
      <c r="F20" s="84"/>
      <c r="G20" s="84"/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7"/>
    </row>
    <row r="21" spans="1:22" x14ac:dyDescent="0.15">
      <c r="A21" s="3" t="s">
        <v>0</v>
      </c>
      <c r="B21" s="2" t="s">
        <v>418</v>
      </c>
      <c r="C21" s="85"/>
      <c r="D21" s="85"/>
      <c r="E21" s="85"/>
      <c r="F21" s="85"/>
      <c r="G21" s="8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ht="12" thickBot="1" x14ac:dyDescent="0.2">
      <c r="A22" s="60" t="s">
        <v>59</v>
      </c>
      <c r="B22" s="64" t="s">
        <v>58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7"/>
      <c r="O22" s="37"/>
      <c r="P22" s="37"/>
      <c r="Q22" s="37"/>
      <c r="R22" s="37"/>
      <c r="S22" s="37"/>
      <c r="T22" s="37"/>
      <c r="U22" s="37"/>
      <c r="V22" s="37"/>
    </row>
    <row r="23" spans="1:22" x14ac:dyDescent="0.15">
      <c r="A23" s="37" t="s">
        <v>166</v>
      </c>
      <c r="B23" s="102">
        <v>1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101" t="str">
        <f t="shared" ref="N23:N28" si="0">IF(AD23&gt;0,AT23/AD23,"")</f>
        <v/>
      </c>
      <c r="O23" s="37"/>
      <c r="P23" s="37"/>
      <c r="Q23" s="37"/>
      <c r="R23" s="37"/>
      <c r="S23" s="37"/>
      <c r="T23" s="37"/>
      <c r="U23" s="37"/>
      <c r="V23" s="37"/>
    </row>
    <row r="24" spans="1:22" x14ac:dyDescent="0.15">
      <c r="A24" s="37" t="s">
        <v>167</v>
      </c>
      <c r="B24" s="103">
        <v>1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101" t="str">
        <f t="shared" si="0"/>
        <v/>
      </c>
      <c r="O24" s="37"/>
      <c r="P24" s="37"/>
      <c r="Q24" s="37"/>
      <c r="R24" s="37"/>
      <c r="S24" s="37"/>
      <c r="T24" s="37"/>
      <c r="U24" s="37"/>
      <c r="V24" s="37"/>
    </row>
    <row r="25" spans="1:22" x14ac:dyDescent="0.15">
      <c r="A25" s="37" t="s">
        <v>168</v>
      </c>
      <c r="B25" s="103">
        <v>1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101" t="str">
        <f t="shared" si="0"/>
        <v/>
      </c>
      <c r="O25" s="37"/>
      <c r="P25" s="37"/>
      <c r="Q25" s="37"/>
      <c r="R25" s="37"/>
      <c r="S25" s="37"/>
      <c r="T25" s="37"/>
      <c r="U25" s="37"/>
      <c r="V25" s="37"/>
    </row>
    <row r="26" spans="1:22" x14ac:dyDescent="0.15">
      <c r="A26" s="37" t="s">
        <v>169</v>
      </c>
      <c r="B26" s="103">
        <v>1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101" t="str">
        <f t="shared" si="0"/>
        <v/>
      </c>
      <c r="O26" s="37"/>
      <c r="P26" s="37"/>
      <c r="Q26" s="37"/>
      <c r="R26" s="37"/>
      <c r="S26" s="37"/>
      <c r="T26" s="37"/>
      <c r="U26" s="37"/>
      <c r="V26" s="37"/>
    </row>
    <row r="27" spans="1:22" x14ac:dyDescent="0.15">
      <c r="A27" s="37" t="s">
        <v>170</v>
      </c>
      <c r="B27" s="103">
        <v>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101" t="str">
        <f t="shared" si="0"/>
        <v/>
      </c>
      <c r="O27" s="37"/>
      <c r="P27" s="37"/>
      <c r="Q27" s="37"/>
      <c r="R27" s="37"/>
      <c r="S27" s="37"/>
      <c r="T27" s="37"/>
      <c r="U27" s="37"/>
      <c r="V27" s="37"/>
    </row>
    <row r="28" spans="1:22" x14ac:dyDescent="0.15">
      <c r="A28" s="30" t="s">
        <v>171</v>
      </c>
      <c r="B28" s="105">
        <v>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101" t="str">
        <f t="shared" si="0"/>
        <v/>
      </c>
      <c r="O28" s="37"/>
      <c r="P28" s="37"/>
      <c r="Q28" s="37"/>
      <c r="R28" s="37"/>
      <c r="S28" s="37"/>
      <c r="T28" s="37"/>
      <c r="U28" s="37"/>
      <c r="V28" s="37"/>
    </row>
    <row r="29" spans="1:22" x14ac:dyDescent="0.15">
      <c r="A29" s="37" t="s">
        <v>172</v>
      </c>
      <c r="B29" s="103">
        <v>0</v>
      </c>
      <c r="C29" s="87"/>
      <c r="D29" s="87"/>
      <c r="E29" s="87"/>
      <c r="F29" s="87"/>
      <c r="G29" s="87"/>
      <c r="H29" s="87"/>
      <c r="I29" s="87"/>
      <c r="J29" s="33"/>
      <c r="K29" s="87"/>
      <c r="L29" s="87"/>
      <c r="M29" s="33"/>
      <c r="N29" s="37"/>
      <c r="O29" s="37"/>
      <c r="P29" s="37"/>
      <c r="Q29" s="37"/>
      <c r="R29" s="37"/>
      <c r="S29" s="37"/>
      <c r="T29" s="37"/>
      <c r="U29" s="37"/>
      <c r="V29" s="37"/>
    </row>
    <row r="30" spans="1:22" x14ac:dyDescent="0.15">
      <c r="A30" s="37" t="s">
        <v>173</v>
      </c>
      <c r="B30" s="103">
        <v>0</v>
      </c>
      <c r="C30" s="87"/>
      <c r="D30" s="87"/>
      <c r="E30" s="87"/>
      <c r="F30" s="87"/>
      <c r="G30" s="87"/>
      <c r="H30" s="87"/>
      <c r="I30" s="87"/>
      <c r="J30" s="33"/>
      <c r="K30" s="87"/>
      <c r="L30" s="87"/>
      <c r="M30" s="33"/>
      <c r="N30" s="37"/>
      <c r="O30" s="37"/>
      <c r="P30" s="37"/>
      <c r="Q30" s="37"/>
      <c r="R30" s="37"/>
      <c r="S30" s="37"/>
      <c r="T30" s="37"/>
      <c r="U30" s="37"/>
      <c r="V30" s="37"/>
    </row>
    <row r="31" spans="1:22" x14ac:dyDescent="0.15">
      <c r="A31" s="37" t="s">
        <v>174</v>
      </c>
      <c r="B31" s="103">
        <v>0</v>
      </c>
      <c r="C31" s="87"/>
      <c r="D31" s="87"/>
      <c r="E31" s="87"/>
      <c r="F31" s="87"/>
      <c r="G31" s="87"/>
      <c r="H31" s="87"/>
      <c r="I31" s="87"/>
      <c r="J31" s="33"/>
      <c r="K31" s="87"/>
      <c r="L31" s="87"/>
      <c r="M31" s="33"/>
      <c r="N31" s="37"/>
      <c r="O31" s="37"/>
      <c r="P31" s="37"/>
      <c r="Q31" s="37"/>
      <c r="R31" s="37"/>
      <c r="S31" s="37"/>
      <c r="T31" s="37"/>
      <c r="U31" s="37"/>
      <c r="V31" s="37"/>
    </row>
    <row r="32" spans="1:22" x14ac:dyDescent="0.15">
      <c r="A32" s="37" t="s">
        <v>175</v>
      </c>
      <c r="B32" s="103">
        <v>0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37"/>
      <c r="O32" s="37"/>
      <c r="P32" s="37"/>
      <c r="Q32" s="37"/>
      <c r="R32" s="37"/>
      <c r="S32" s="37"/>
      <c r="T32" s="37"/>
      <c r="U32" s="37"/>
      <c r="V32" s="37"/>
    </row>
    <row r="33" spans="1:22" x14ac:dyDescent="0.15">
      <c r="A33" s="37" t="s">
        <v>176</v>
      </c>
      <c r="B33" s="103">
        <v>0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37"/>
      <c r="O33" s="37"/>
      <c r="P33" s="37"/>
      <c r="Q33" s="37"/>
      <c r="R33" s="37"/>
      <c r="S33" s="37"/>
      <c r="T33" s="37"/>
      <c r="U33" s="37"/>
      <c r="V33" s="37"/>
    </row>
    <row r="34" spans="1:22" x14ac:dyDescent="0.15">
      <c r="A34" s="37" t="s">
        <v>177</v>
      </c>
      <c r="B34" s="103">
        <v>0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37"/>
      <c r="O34" s="37"/>
      <c r="P34" s="37"/>
      <c r="Q34" s="37"/>
      <c r="R34" s="37"/>
      <c r="S34" s="37"/>
      <c r="T34" s="37"/>
      <c r="U34" s="37"/>
      <c r="V34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showGridLines="0" zoomScaleNormal="100" workbookViewId="0">
      <selection activeCell="C27" sqref="C27"/>
    </sheetView>
  </sheetViews>
  <sheetFormatPr defaultRowHeight="11.25" x14ac:dyDescent="0.15"/>
  <cols>
    <col min="1" max="1" width="11.25" customWidth="1"/>
    <col min="2" max="2" width="13.25" customWidth="1"/>
    <col min="3" max="4" width="10.375" bestFit="1" customWidth="1"/>
    <col min="5" max="5" width="11.375" bestFit="1" customWidth="1"/>
    <col min="6" max="6" width="12.375" bestFit="1" customWidth="1"/>
    <col min="7" max="8" width="10.375" bestFit="1" customWidth="1"/>
    <col min="9" max="9" width="11.375" bestFit="1" customWidth="1"/>
    <col min="10" max="13" width="10.375" bestFit="1" customWidth="1"/>
    <col min="14" max="14" width="11.375" bestFit="1" customWidth="1"/>
    <col min="15" max="16" width="10.375" bestFit="1" customWidth="1"/>
    <col min="17" max="17" width="11.375" bestFit="1" customWidth="1"/>
  </cols>
  <sheetData>
    <row r="1" spans="1:22" ht="19.5" x14ac:dyDescent="0.25">
      <c r="A1" s="6" t="s">
        <v>205</v>
      </c>
      <c r="H1" s="46"/>
      <c r="I1" s="48"/>
    </row>
    <row r="2" spans="1:22" x14ac:dyDescent="0.15">
      <c r="A2" s="5" t="s">
        <v>401</v>
      </c>
      <c r="F2" s="38"/>
      <c r="H2" s="1"/>
    </row>
    <row r="3" spans="1:22" x14ac:dyDescent="0.15">
      <c r="B3" s="5"/>
      <c r="H3" s="1"/>
    </row>
    <row r="4" spans="1:22" x14ac:dyDescent="0.15">
      <c r="A4" s="45" t="s">
        <v>139</v>
      </c>
      <c r="B4" s="43"/>
      <c r="C4" s="43"/>
      <c r="D4" s="43"/>
      <c r="E4" s="44"/>
      <c r="F4" s="42" t="s">
        <v>140</v>
      </c>
      <c r="G4" s="43"/>
      <c r="H4" s="43"/>
      <c r="I4" s="43"/>
      <c r="J4" s="43"/>
      <c r="K4" s="43"/>
      <c r="L4" s="43"/>
      <c r="M4" s="43"/>
      <c r="N4" s="43"/>
      <c r="O4" s="43"/>
      <c r="P4" s="44"/>
    </row>
    <row r="5" spans="1:22" x14ac:dyDescent="0.15">
      <c r="B5" s="49"/>
      <c r="F5" s="50"/>
      <c r="G5" s="46"/>
      <c r="H5" s="46"/>
      <c r="I5" s="46"/>
      <c r="J5" s="163"/>
      <c r="K5" s="46"/>
      <c r="L5" s="46"/>
      <c r="M5" s="46"/>
      <c r="N5" s="46"/>
      <c r="O5" s="46"/>
      <c r="P5" s="47"/>
    </row>
    <row r="6" spans="1:22" x14ac:dyDescent="0.15">
      <c r="A6" s="38" t="s">
        <v>320</v>
      </c>
      <c r="B6" s="51"/>
      <c r="F6" s="123"/>
      <c r="G6" s="46"/>
      <c r="H6" s="46"/>
      <c r="I6" s="46"/>
      <c r="J6" s="163"/>
      <c r="K6" s="46"/>
      <c r="L6" s="46"/>
      <c r="M6" s="46"/>
      <c r="N6" s="46"/>
      <c r="O6" s="46"/>
      <c r="P6" s="47"/>
    </row>
    <row r="7" spans="1:22" x14ac:dyDescent="0.15">
      <c r="A7" s="39" t="s">
        <v>196</v>
      </c>
      <c r="B7" s="52"/>
      <c r="F7" s="50"/>
      <c r="G7" s="46"/>
      <c r="H7" s="46"/>
      <c r="I7" s="46"/>
      <c r="J7" s="46"/>
      <c r="K7" s="46"/>
      <c r="L7" s="46" t="s">
        <v>370</v>
      </c>
      <c r="M7" s="46" t="s">
        <v>369</v>
      </c>
      <c r="N7" s="46"/>
      <c r="O7" s="46"/>
      <c r="P7" s="47"/>
    </row>
    <row r="8" spans="1:22" x14ac:dyDescent="0.15">
      <c r="A8" t="s">
        <v>116</v>
      </c>
      <c r="B8" s="46"/>
      <c r="F8" s="50"/>
      <c r="G8" s="87"/>
      <c r="H8" s="87"/>
      <c r="I8" s="87"/>
      <c r="J8" s="87"/>
      <c r="K8" s="46" t="s">
        <v>142</v>
      </c>
      <c r="L8" s="190">
        <f>AVERAGE(G23:S28,C23:E28)</f>
        <v>4.1519708333333325</v>
      </c>
      <c r="M8" s="46"/>
      <c r="N8" s="33"/>
      <c r="O8" s="87"/>
      <c r="P8" s="125"/>
      <c r="V8" s="87"/>
    </row>
    <row r="9" spans="1:22" x14ac:dyDescent="0.15">
      <c r="B9" s="46"/>
      <c r="C9" s="46"/>
      <c r="D9" s="46"/>
      <c r="E9" s="47"/>
      <c r="F9" s="87"/>
      <c r="G9" s="87"/>
      <c r="H9" s="87"/>
      <c r="I9" s="87"/>
      <c r="J9" s="87"/>
      <c r="K9" s="46">
        <v>2030</v>
      </c>
      <c r="L9" s="190">
        <f>AVERAGE(G35:S40,C35:E40)</f>
        <v>5.8418010614491456</v>
      </c>
      <c r="M9" s="189">
        <f>(L9-$L$8)/$L$8</f>
        <v>0.40699472514337592</v>
      </c>
      <c r="N9" s="33"/>
      <c r="O9" s="87"/>
      <c r="P9" s="125"/>
      <c r="V9" s="87"/>
    </row>
    <row r="10" spans="1:22" x14ac:dyDescent="0.15">
      <c r="A10" s="46" t="s">
        <v>199</v>
      </c>
      <c r="B10" s="46"/>
      <c r="C10" s="46"/>
      <c r="D10" s="46"/>
      <c r="E10" s="47"/>
      <c r="F10" s="87"/>
      <c r="G10" s="87"/>
      <c r="H10" s="87"/>
      <c r="I10" s="87"/>
      <c r="J10" s="87"/>
      <c r="K10" s="46">
        <v>2050</v>
      </c>
      <c r="L10" s="190">
        <f>AVERAGE(G47:S52,C47:E52)</f>
        <v>8.2960294273006348</v>
      </c>
      <c r="M10" s="189">
        <f>(L10-$L$8)/$L$8</f>
        <v>0.99809434129389629</v>
      </c>
      <c r="N10" s="33"/>
      <c r="O10" s="87"/>
      <c r="P10" s="125"/>
      <c r="V10" s="87"/>
    </row>
    <row r="11" spans="1:22" x14ac:dyDescent="0.15">
      <c r="A11" s="46" t="s">
        <v>385</v>
      </c>
      <c r="B11" s="46"/>
      <c r="C11" s="46"/>
      <c r="D11" s="46"/>
      <c r="E11" s="46"/>
      <c r="F11" s="124"/>
      <c r="G11" s="33"/>
      <c r="H11" s="33"/>
      <c r="I11" s="33"/>
      <c r="J11" s="33"/>
      <c r="K11" s="33"/>
      <c r="L11" s="87"/>
      <c r="M11" s="87"/>
      <c r="N11" s="87"/>
      <c r="O11" s="87"/>
      <c r="P11" s="125"/>
      <c r="V11" s="87"/>
    </row>
    <row r="12" spans="1:22" x14ac:dyDescent="0.15">
      <c r="A12" s="131" t="s">
        <v>201</v>
      </c>
      <c r="F12" s="129" t="s">
        <v>384</v>
      </c>
      <c r="G12" s="126" t="s">
        <v>150</v>
      </c>
      <c r="H12" s="126" t="s">
        <v>197</v>
      </c>
      <c r="I12" s="127" t="s">
        <v>106</v>
      </c>
      <c r="J12" s="126" t="s">
        <v>10</v>
      </c>
      <c r="K12" s="126" t="s">
        <v>108</v>
      </c>
      <c r="L12" s="127" t="s">
        <v>202</v>
      </c>
      <c r="M12" s="127" t="s">
        <v>200</v>
      </c>
      <c r="O12" s="33"/>
      <c r="P12" s="125"/>
      <c r="V12" s="33"/>
    </row>
    <row r="13" spans="1:22" x14ac:dyDescent="0.15">
      <c r="A13" s="135" t="s">
        <v>203</v>
      </c>
      <c r="F13" s="13" t="s">
        <v>94</v>
      </c>
      <c r="G13" s="128">
        <v>1.0049547225757753</v>
      </c>
      <c r="H13" s="128">
        <v>1.0103182855391637</v>
      </c>
      <c r="I13" s="128">
        <v>1.0145989410846314</v>
      </c>
      <c r="J13" s="128">
        <v>1.0212293503117618</v>
      </c>
      <c r="K13" s="128">
        <v>1.0144129637732298</v>
      </c>
      <c r="L13" s="128">
        <v>1.0109797692413225</v>
      </c>
      <c r="M13" s="128">
        <f>AVERAGE(G13:L13)</f>
        <v>1.0127490054209807</v>
      </c>
      <c r="O13" s="33"/>
      <c r="P13" s="125"/>
      <c r="V13" s="33"/>
    </row>
    <row r="14" spans="1:22" x14ac:dyDescent="0.15">
      <c r="A14" s="117" t="s">
        <v>190</v>
      </c>
      <c r="D14" s="38"/>
      <c r="F14" s="50" t="s">
        <v>133</v>
      </c>
      <c r="G14" s="128">
        <v>1.0257320431982959</v>
      </c>
      <c r="H14" s="128">
        <v>1.0236752695393911</v>
      </c>
      <c r="I14" s="128">
        <v>1.0205685720013449</v>
      </c>
      <c r="J14" s="128">
        <v>1.0177446652182531</v>
      </c>
      <c r="K14" s="128">
        <v>1.0160911041337279</v>
      </c>
      <c r="L14" s="133">
        <v>1.0180488683612503</v>
      </c>
      <c r="M14" s="128">
        <f>AVERAGE(G14:L14)</f>
        <v>1.0203100870753772</v>
      </c>
      <c r="O14" s="46"/>
      <c r="P14" s="47"/>
      <c r="V14" s="1"/>
    </row>
    <row r="15" spans="1:22" x14ac:dyDescent="0.15">
      <c r="A15" s="8"/>
      <c r="B15" s="46"/>
      <c r="C15" s="46"/>
      <c r="D15" s="46"/>
      <c r="E15" s="46"/>
      <c r="F15" s="50" t="s">
        <v>96</v>
      </c>
      <c r="G15" s="128">
        <v>1.0171350529519534</v>
      </c>
      <c r="H15" s="128">
        <v>1.010259423758787</v>
      </c>
      <c r="I15" s="128">
        <v>1.0249932301052076</v>
      </c>
      <c r="J15" s="128">
        <v>1.0382755526510514</v>
      </c>
      <c r="K15" s="128">
        <v>1.0047514765236958</v>
      </c>
      <c r="L15" s="133">
        <v>1.0112899864210472</v>
      </c>
      <c r="M15" s="128">
        <f>AVERAGE(G15:L15)</f>
        <v>1.0177841204019569</v>
      </c>
      <c r="O15" s="46"/>
      <c r="P15" s="47"/>
      <c r="V15" s="1"/>
    </row>
    <row r="16" spans="1:22" x14ac:dyDescent="0.15">
      <c r="A16" s="8"/>
      <c r="B16" s="46"/>
      <c r="C16" s="46"/>
      <c r="D16" s="46"/>
      <c r="E16" s="46"/>
      <c r="F16" s="50" t="s">
        <v>198</v>
      </c>
      <c r="G16" s="134">
        <f>AVERAGE(G13:G15)</f>
        <v>1.0159406062420082</v>
      </c>
      <c r="H16" s="128">
        <f>EXP(LN(2.68/2.25)/10)</f>
        <v>1.0176424798119541</v>
      </c>
      <c r="I16" s="128">
        <f>EXP(LN(2.48/1.99)/10)</f>
        <v>1.0222564523411595</v>
      </c>
      <c r="J16" s="128">
        <f>EXP(LN(1.71/1.44)/10)</f>
        <v>1.017333537754854</v>
      </c>
      <c r="K16" s="134">
        <f>AVERAGE(K13:K15)</f>
        <v>1.0117518481435512</v>
      </c>
      <c r="L16" s="133">
        <v>1.0228237653735259</v>
      </c>
      <c r="M16" s="128">
        <f>AVERAGE(G16:L16)</f>
        <v>1.0179581149445089</v>
      </c>
      <c r="O16" s="46"/>
      <c r="P16" s="47"/>
    </row>
    <row r="17" spans="1:29" x14ac:dyDescent="0.15">
      <c r="A17" s="8"/>
      <c r="B17" s="46"/>
      <c r="C17" s="46"/>
      <c r="D17" s="46"/>
      <c r="E17" s="47"/>
      <c r="F17" s="50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18" spans="1:29" x14ac:dyDescent="0.15">
      <c r="A18" s="30"/>
      <c r="B18" s="53"/>
      <c r="C18" s="53"/>
      <c r="D18" s="53"/>
      <c r="E18" s="54"/>
      <c r="F18" s="55"/>
      <c r="G18" s="53"/>
      <c r="H18" s="53"/>
      <c r="I18" s="53"/>
      <c r="J18" s="53"/>
      <c r="K18" s="53"/>
      <c r="L18" s="53"/>
      <c r="M18" s="53"/>
      <c r="N18" s="53"/>
      <c r="O18" s="53"/>
      <c r="P18" s="54"/>
    </row>
    <row r="19" spans="1:29" x14ac:dyDescent="0.15">
      <c r="B19" s="5"/>
      <c r="D19" s="34"/>
      <c r="H19" s="1"/>
      <c r="I19" s="34"/>
      <c r="Q19" s="38"/>
    </row>
    <row r="20" spans="1:29" x14ac:dyDescent="0.15">
      <c r="A20" s="2" t="s">
        <v>381</v>
      </c>
      <c r="B20" s="22" t="s">
        <v>118</v>
      </c>
      <c r="C20" s="84" t="s">
        <v>43</v>
      </c>
      <c r="D20" s="84"/>
      <c r="E20" s="84"/>
      <c r="F20" s="84"/>
      <c r="G20" s="84"/>
      <c r="H20" s="84"/>
      <c r="I20" s="3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9" x14ac:dyDescent="0.15">
      <c r="B21" s="3" t="s">
        <v>419</v>
      </c>
      <c r="C21" s="86" t="s">
        <v>27</v>
      </c>
      <c r="D21" s="85"/>
      <c r="E21" s="85"/>
      <c r="F21" s="85"/>
      <c r="G21" s="170"/>
      <c r="H21" s="85"/>
      <c r="I21" s="37"/>
      <c r="J21" s="37"/>
      <c r="K21" s="37"/>
      <c r="M21" s="37"/>
      <c r="N21" s="37"/>
    </row>
    <row r="22" spans="1:29" ht="12" thickBot="1" x14ac:dyDescent="0.2">
      <c r="A22" s="57" t="s">
        <v>323</v>
      </c>
      <c r="B22" s="60" t="s">
        <v>59</v>
      </c>
      <c r="C22" s="64" t="s">
        <v>100</v>
      </c>
      <c r="D22" s="64" t="s">
        <v>99</v>
      </c>
      <c r="E22" s="64" t="s">
        <v>101</v>
      </c>
      <c r="F22" s="64" t="s">
        <v>102</v>
      </c>
      <c r="G22" s="64" t="s">
        <v>104</v>
      </c>
      <c r="H22" s="64" t="s">
        <v>105</v>
      </c>
      <c r="I22" s="65" t="s">
        <v>153</v>
      </c>
      <c r="J22" s="65" t="s">
        <v>154</v>
      </c>
      <c r="K22" s="65" t="s">
        <v>359</v>
      </c>
      <c r="L22" s="65" t="s">
        <v>360</v>
      </c>
      <c r="M22" s="65" t="s">
        <v>103</v>
      </c>
      <c r="N22" s="65" t="s">
        <v>156</v>
      </c>
      <c r="O22" s="65" t="s">
        <v>229</v>
      </c>
      <c r="P22" s="65" t="s">
        <v>157</v>
      </c>
      <c r="Q22" s="65" t="s">
        <v>181</v>
      </c>
      <c r="R22" s="65" t="s">
        <v>182</v>
      </c>
      <c r="S22" s="65" t="s">
        <v>184</v>
      </c>
    </row>
    <row r="23" spans="1:29" x14ac:dyDescent="0.15">
      <c r="A23" s="118" t="s">
        <v>142</v>
      </c>
      <c r="B23" t="s">
        <v>167</v>
      </c>
      <c r="C23" s="88">
        <v>1.7391000000000001</v>
      </c>
      <c r="D23" s="88">
        <v>1.1234</v>
      </c>
      <c r="E23" s="88">
        <v>7.7778</v>
      </c>
      <c r="F23" s="88">
        <v>39.246600000000001</v>
      </c>
      <c r="G23" s="88">
        <v>2</v>
      </c>
      <c r="H23" s="88">
        <v>2</v>
      </c>
      <c r="I23" s="88">
        <v>29.3489</v>
      </c>
      <c r="J23" s="88">
        <v>0.40910000000000002</v>
      </c>
      <c r="K23" s="88">
        <v>0.51319999999999999</v>
      </c>
      <c r="L23" s="88">
        <v>0.51319999999999999</v>
      </c>
      <c r="M23" s="88">
        <v>0.85750000000000004</v>
      </c>
      <c r="N23" s="87">
        <v>0.34</v>
      </c>
      <c r="O23" s="87">
        <v>1.02</v>
      </c>
      <c r="P23" s="88">
        <v>15.578200000000001</v>
      </c>
      <c r="Q23" s="88">
        <v>1.1234</v>
      </c>
      <c r="R23" s="88">
        <v>0.79769999999999996</v>
      </c>
      <c r="S23" s="88">
        <v>8.7424999999999997</v>
      </c>
    </row>
    <row r="24" spans="1:29" x14ac:dyDescent="0.15">
      <c r="A24" s="118"/>
      <c r="B24" t="s">
        <v>170</v>
      </c>
      <c r="C24" s="88">
        <v>2.2968000000000002</v>
      </c>
      <c r="D24" s="88">
        <v>2.6547000000000001</v>
      </c>
      <c r="E24" s="88">
        <v>3.2850999999999999</v>
      </c>
      <c r="F24" s="88">
        <v>110</v>
      </c>
      <c r="G24" s="88">
        <v>2.1259000000000001</v>
      </c>
      <c r="H24" s="88">
        <v>2.1259000000000001</v>
      </c>
      <c r="I24" s="88">
        <v>28.385899999999999</v>
      </c>
      <c r="J24" s="88">
        <v>1.0119</v>
      </c>
      <c r="K24" s="88">
        <v>0.63219999999999998</v>
      </c>
      <c r="L24" s="88">
        <v>0.63219999999999998</v>
      </c>
      <c r="M24" s="88">
        <v>1.0843</v>
      </c>
      <c r="N24" s="88">
        <v>2.19</v>
      </c>
      <c r="O24" s="88">
        <v>1.1100000000000001</v>
      </c>
      <c r="P24" s="88">
        <v>22.804099999999998</v>
      </c>
      <c r="Q24" s="88">
        <v>2.6547000000000001</v>
      </c>
      <c r="R24" s="88">
        <v>1.0571999999999999</v>
      </c>
      <c r="S24" s="88">
        <v>17.541399999999999</v>
      </c>
    </row>
    <row r="25" spans="1:29" ht="15" x14ac:dyDescent="0.25">
      <c r="A25" s="118"/>
      <c r="B25" s="1" t="s">
        <v>171</v>
      </c>
      <c r="C25" s="88">
        <v>1.7041999999999999</v>
      </c>
      <c r="D25" s="88">
        <v>1.498</v>
      </c>
      <c r="E25" s="88">
        <v>6.2</v>
      </c>
      <c r="F25" s="88">
        <v>79.535700000000006</v>
      </c>
      <c r="G25" s="88">
        <v>1.1366000000000001</v>
      </c>
      <c r="H25" s="88">
        <v>1.1366000000000001</v>
      </c>
      <c r="I25" s="88">
        <v>8.875</v>
      </c>
      <c r="J25" s="88">
        <v>0.66249999999999998</v>
      </c>
      <c r="K25" s="88">
        <v>0.55330000000000001</v>
      </c>
      <c r="L25" s="88">
        <v>0.55330000000000001</v>
      </c>
      <c r="M25" s="92">
        <v>0</v>
      </c>
      <c r="N25" s="88">
        <v>1.35</v>
      </c>
      <c r="O25" s="88">
        <v>1.27</v>
      </c>
      <c r="P25" s="88">
        <v>10.7501</v>
      </c>
      <c r="Q25" s="88">
        <v>1.498</v>
      </c>
      <c r="R25" s="88">
        <v>0.58009999999999995</v>
      </c>
      <c r="S25" s="88">
        <v>17</v>
      </c>
      <c r="T25" s="187"/>
      <c r="U25" s="188"/>
      <c r="V25" s="188"/>
      <c r="W25" s="188"/>
      <c r="X25" s="188"/>
      <c r="Y25" s="188"/>
      <c r="Z25" s="188"/>
      <c r="AA25" s="188"/>
      <c r="AB25" s="188"/>
      <c r="AC25" s="1"/>
    </row>
    <row r="26" spans="1:29" ht="15" x14ac:dyDescent="0.25">
      <c r="A26" s="118"/>
      <c r="B26" t="s">
        <v>166</v>
      </c>
      <c r="C26" s="88">
        <v>2.8837999999999999</v>
      </c>
      <c r="D26" s="88">
        <v>3.1358999999999999</v>
      </c>
      <c r="E26" s="88">
        <v>6.8148</v>
      </c>
      <c r="F26" s="88">
        <v>118.09520000000001</v>
      </c>
      <c r="G26" s="88">
        <v>2.7382</v>
      </c>
      <c r="H26" s="88">
        <v>2.7382</v>
      </c>
      <c r="I26" s="88">
        <v>7.9204999999999997</v>
      </c>
      <c r="J26" s="88">
        <v>1.2914000000000001</v>
      </c>
      <c r="K26" s="88">
        <v>1.0687</v>
      </c>
      <c r="L26" s="88">
        <v>1.0687</v>
      </c>
      <c r="M26" s="88">
        <v>1.3</v>
      </c>
      <c r="N26" s="88">
        <v>2.13</v>
      </c>
      <c r="O26" s="88">
        <v>0.79</v>
      </c>
      <c r="P26" s="88">
        <v>8.5968</v>
      </c>
      <c r="Q26" s="88">
        <v>3.1358999999999999</v>
      </c>
      <c r="R26" s="88">
        <v>1.5101</v>
      </c>
      <c r="S26" s="88">
        <v>9.1651000000000007</v>
      </c>
      <c r="T26" s="187"/>
      <c r="U26" s="187"/>
      <c r="V26" s="187"/>
      <c r="W26" s="187"/>
      <c r="X26" s="187"/>
      <c r="Y26" s="187"/>
      <c r="Z26" s="187"/>
      <c r="AA26" s="187"/>
      <c r="AB26" s="187"/>
      <c r="AC26" s="1"/>
    </row>
    <row r="27" spans="1:29" ht="15" x14ac:dyDescent="0.25">
      <c r="A27" s="118"/>
      <c r="B27" t="s">
        <v>169</v>
      </c>
      <c r="C27" s="88">
        <v>9.9387000000000008</v>
      </c>
      <c r="D27" s="88">
        <v>3.0310000000000001</v>
      </c>
      <c r="E27" s="88">
        <v>7.875</v>
      </c>
      <c r="F27" s="88">
        <v>107.1429</v>
      </c>
      <c r="G27" s="88">
        <v>1.7974000000000001</v>
      </c>
      <c r="H27" s="88">
        <v>1.7974000000000001</v>
      </c>
      <c r="I27" s="88">
        <v>4.25</v>
      </c>
      <c r="J27" s="88">
        <v>0.97870000000000001</v>
      </c>
      <c r="K27" s="92">
        <v>0</v>
      </c>
      <c r="L27" s="92">
        <v>0</v>
      </c>
      <c r="M27" s="88">
        <v>2.3940999999999999</v>
      </c>
      <c r="N27" s="88">
        <v>1.17</v>
      </c>
      <c r="O27" s="88">
        <v>1.69</v>
      </c>
      <c r="P27" s="88">
        <v>6.2</v>
      </c>
      <c r="Q27" s="88">
        <v>3.0310000000000001</v>
      </c>
      <c r="R27" s="88">
        <v>1.3323</v>
      </c>
      <c r="S27" s="88">
        <v>18.7331</v>
      </c>
      <c r="T27" s="187"/>
      <c r="U27" s="187"/>
      <c r="V27" s="187"/>
      <c r="W27" s="187"/>
      <c r="X27" s="187"/>
      <c r="Y27" s="187"/>
      <c r="Z27" s="187"/>
      <c r="AA27" s="187"/>
      <c r="AB27" s="187"/>
      <c r="AC27" s="1"/>
    </row>
    <row r="28" spans="1:29" ht="15" x14ac:dyDescent="0.25">
      <c r="A28" s="118"/>
      <c r="B28" s="16" t="s">
        <v>168</v>
      </c>
      <c r="C28" s="116">
        <v>5.6</v>
      </c>
      <c r="D28" s="116">
        <v>1.2965</v>
      </c>
      <c r="E28" s="116">
        <v>7.2</v>
      </c>
      <c r="F28" s="116">
        <v>113.04259999999999</v>
      </c>
      <c r="G28" s="116">
        <v>2.4138000000000002</v>
      </c>
      <c r="H28" s="116">
        <v>2.4138000000000002</v>
      </c>
      <c r="I28" s="116">
        <v>6.8535000000000004</v>
      </c>
      <c r="J28" s="116">
        <v>0.61929999999999996</v>
      </c>
      <c r="K28" s="116">
        <v>0.82779999999999998</v>
      </c>
      <c r="L28" s="116">
        <v>0.82779999999999998</v>
      </c>
      <c r="M28" s="116">
        <v>2.2799999999999998</v>
      </c>
      <c r="N28" s="116">
        <v>1.99</v>
      </c>
      <c r="O28" s="116">
        <v>1.5</v>
      </c>
      <c r="P28" s="116">
        <v>4.7085999999999997</v>
      </c>
      <c r="Q28" s="116">
        <v>1.2965</v>
      </c>
      <c r="R28" s="116">
        <v>0.82330000000000003</v>
      </c>
      <c r="S28" s="116">
        <v>17.1875</v>
      </c>
      <c r="T28" s="187"/>
      <c r="U28" s="187"/>
      <c r="V28" s="187"/>
      <c r="W28" s="187"/>
      <c r="X28" s="187"/>
      <c r="Y28" s="187"/>
      <c r="Z28" s="187"/>
      <c r="AA28" s="187"/>
      <c r="AB28" s="187"/>
      <c r="AC28" s="1"/>
    </row>
    <row r="29" spans="1:29" ht="15" x14ac:dyDescent="0.25">
      <c r="A29" s="118"/>
      <c r="B29" t="s">
        <v>173</v>
      </c>
      <c r="C29" s="87">
        <v>1.7391000000000001</v>
      </c>
      <c r="D29" s="87">
        <v>1.1234</v>
      </c>
      <c r="E29" s="87">
        <v>7.7778</v>
      </c>
      <c r="F29" s="87">
        <v>39.246600000000001</v>
      </c>
      <c r="G29" s="87">
        <v>2</v>
      </c>
      <c r="H29" s="87">
        <v>2</v>
      </c>
      <c r="I29" s="87">
        <v>29.3489</v>
      </c>
      <c r="J29" s="87">
        <v>0.40910000000000002</v>
      </c>
      <c r="K29" s="87">
        <v>0.51319999999999999</v>
      </c>
      <c r="L29" s="87">
        <v>0.51319999999999999</v>
      </c>
      <c r="M29" s="87">
        <v>0.85750000000000004</v>
      </c>
      <c r="N29" s="87">
        <v>0.34</v>
      </c>
      <c r="O29" s="87">
        <v>1.02</v>
      </c>
      <c r="P29" s="87">
        <v>15.578200000000001</v>
      </c>
      <c r="Q29" s="87">
        <v>1.1234</v>
      </c>
      <c r="R29" s="87">
        <v>0.79769999999999996</v>
      </c>
      <c r="S29" s="87">
        <v>8.7424999999999997</v>
      </c>
      <c r="T29" s="187"/>
      <c r="U29" s="1"/>
      <c r="V29" s="1"/>
      <c r="W29" s="1"/>
      <c r="X29" s="1"/>
      <c r="Y29" s="1"/>
      <c r="Z29" s="1"/>
      <c r="AA29" s="1"/>
      <c r="AB29" s="1"/>
      <c r="AC29" s="1"/>
    </row>
    <row r="30" spans="1:29" ht="15" x14ac:dyDescent="0.25">
      <c r="A30" s="59"/>
      <c r="B30" t="s">
        <v>176</v>
      </c>
      <c r="C30" s="87">
        <v>2.2968000000000002</v>
      </c>
      <c r="D30" s="87">
        <v>2.6547000000000001</v>
      </c>
      <c r="E30" s="87">
        <v>3.2850999999999999</v>
      </c>
      <c r="F30" s="87">
        <v>110</v>
      </c>
      <c r="G30" s="87">
        <v>2.1259000000000001</v>
      </c>
      <c r="H30" s="87">
        <v>2.1259000000000001</v>
      </c>
      <c r="I30" s="87">
        <v>28.385899999999999</v>
      </c>
      <c r="J30" s="87">
        <v>1.0119</v>
      </c>
      <c r="K30" s="87">
        <v>0.63219999999999998</v>
      </c>
      <c r="L30" s="87">
        <v>0.63219999999999998</v>
      </c>
      <c r="M30" s="87">
        <v>1.0843</v>
      </c>
      <c r="N30" s="87">
        <v>2.19</v>
      </c>
      <c r="O30" s="88">
        <v>1.1100000000000001</v>
      </c>
      <c r="P30" s="87">
        <v>22.804099999999998</v>
      </c>
      <c r="Q30" s="87">
        <v>2.6547000000000001</v>
      </c>
      <c r="R30" s="87">
        <v>1.0571999999999999</v>
      </c>
      <c r="S30" s="87">
        <v>17.541399999999999</v>
      </c>
      <c r="T30" s="187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15">
      <c r="A31" s="59"/>
      <c r="B31" s="1" t="s">
        <v>177</v>
      </c>
      <c r="C31" s="87">
        <v>1.7041999999999999</v>
      </c>
      <c r="D31" s="87">
        <v>1.498</v>
      </c>
      <c r="E31" s="87">
        <v>6.2</v>
      </c>
      <c r="F31" s="87">
        <v>79.535700000000006</v>
      </c>
      <c r="G31" s="87">
        <v>1.1366000000000001</v>
      </c>
      <c r="H31" s="87">
        <v>1.1366000000000001</v>
      </c>
      <c r="I31" s="87">
        <v>8.875</v>
      </c>
      <c r="J31" s="87">
        <v>0.66249999999999998</v>
      </c>
      <c r="K31" s="87">
        <v>0.55330000000000001</v>
      </c>
      <c r="L31" s="87">
        <v>0.55330000000000001</v>
      </c>
      <c r="M31" s="87">
        <v>0</v>
      </c>
      <c r="N31" s="87">
        <v>1.35</v>
      </c>
      <c r="O31" s="88">
        <v>1.27</v>
      </c>
      <c r="P31" s="87">
        <v>10.7501</v>
      </c>
      <c r="Q31" s="87">
        <v>1.498</v>
      </c>
      <c r="R31" s="87">
        <v>0.58009999999999995</v>
      </c>
      <c r="S31" s="87">
        <v>17</v>
      </c>
    </row>
    <row r="32" spans="1:29" x14ac:dyDescent="0.15">
      <c r="A32" s="59"/>
      <c r="B32" t="s">
        <v>172</v>
      </c>
      <c r="C32" s="87">
        <v>2.8837999999999999</v>
      </c>
      <c r="D32" s="87">
        <v>3.1358999999999999</v>
      </c>
      <c r="E32" s="87">
        <v>6.8148</v>
      </c>
      <c r="F32" s="87">
        <v>118.09520000000001</v>
      </c>
      <c r="G32" s="87">
        <v>2.7382</v>
      </c>
      <c r="H32" s="87">
        <v>2.7382</v>
      </c>
      <c r="I32" s="87">
        <v>7.9204999999999997</v>
      </c>
      <c r="J32" s="87">
        <v>1.2914000000000001</v>
      </c>
      <c r="K32" s="87">
        <v>1.0687</v>
      </c>
      <c r="L32" s="87">
        <v>1.0687</v>
      </c>
      <c r="M32" s="87">
        <v>1.3</v>
      </c>
      <c r="N32" s="87">
        <v>2.13</v>
      </c>
      <c r="O32" s="88">
        <v>0.79</v>
      </c>
      <c r="P32" s="87">
        <v>8.5968</v>
      </c>
      <c r="Q32" s="87">
        <v>3.1358999999999999</v>
      </c>
      <c r="R32" s="87">
        <v>1.5101</v>
      </c>
      <c r="S32" s="87">
        <v>9.1651000000000007</v>
      </c>
    </row>
    <row r="33" spans="1:19" x14ac:dyDescent="0.15">
      <c r="A33" s="59"/>
      <c r="B33" s="1" t="s">
        <v>175</v>
      </c>
      <c r="C33" s="33">
        <v>9.9387000000000008</v>
      </c>
      <c r="D33" s="33">
        <v>3.0310000000000001</v>
      </c>
      <c r="E33" s="33">
        <v>7.875</v>
      </c>
      <c r="F33" s="33">
        <v>107.1429</v>
      </c>
      <c r="G33" s="33">
        <v>1.7974000000000001</v>
      </c>
      <c r="H33" s="33">
        <v>1.7974000000000001</v>
      </c>
      <c r="I33" s="33">
        <v>4.25</v>
      </c>
      <c r="J33" s="33">
        <v>0.97870000000000001</v>
      </c>
      <c r="K33" s="33">
        <v>0</v>
      </c>
      <c r="L33" s="33">
        <v>0</v>
      </c>
      <c r="M33" s="33">
        <v>2.3940999999999999</v>
      </c>
      <c r="N33" s="33">
        <v>1.17</v>
      </c>
      <c r="O33" s="88">
        <v>1.69</v>
      </c>
      <c r="P33" s="33">
        <v>6.2</v>
      </c>
      <c r="Q33" s="33">
        <v>3.0310000000000001</v>
      </c>
      <c r="R33" s="33">
        <v>1.3323</v>
      </c>
      <c r="S33" s="33">
        <v>18.7331</v>
      </c>
    </row>
    <row r="34" spans="1:19" x14ac:dyDescent="0.15">
      <c r="A34" s="119"/>
      <c r="B34" s="16" t="s">
        <v>174</v>
      </c>
      <c r="C34" s="104">
        <v>5.6</v>
      </c>
      <c r="D34" s="104">
        <v>1.2965</v>
      </c>
      <c r="E34" s="104">
        <v>7.2</v>
      </c>
      <c r="F34" s="104">
        <v>113.04259999999999</v>
      </c>
      <c r="G34" s="104">
        <v>2.4138000000000002</v>
      </c>
      <c r="H34" s="104">
        <v>2.4138000000000002</v>
      </c>
      <c r="I34" s="104">
        <v>6.8535000000000004</v>
      </c>
      <c r="J34" s="104">
        <v>0.61929999999999996</v>
      </c>
      <c r="K34" s="104">
        <v>0.82779999999999998</v>
      </c>
      <c r="L34" s="104">
        <v>0.82779999999999998</v>
      </c>
      <c r="M34" s="104">
        <v>2.2799999999999998</v>
      </c>
      <c r="N34" s="104">
        <v>1.99</v>
      </c>
      <c r="O34" s="116">
        <v>1.5</v>
      </c>
      <c r="P34" s="104">
        <v>4.7085999999999997</v>
      </c>
      <c r="Q34" s="104">
        <v>1.2965</v>
      </c>
      <c r="R34" s="104">
        <v>0.82330000000000003</v>
      </c>
      <c r="S34" s="104">
        <v>17.1875</v>
      </c>
    </row>
    <row r="35" spans="1:19" x14ac:dyDescent="0.15">
      <c r="A35" s="58" t="s">
        <v>332</v>
      </c>
      <c r="B35" t="s">
        <v>167</v>
      </c>
      <c r="C35" s="88">
        <f>C23*$H$16^20</f>
        <v>2.4673406103703681</v>
      </c>
      <c r="D35" s="88">
        <f>D23*$I$16^20</f>
        <v>1.744743657988435</v>
      </c>
      <c r="E35" s="132">
        <f>E23*$M$16^20</f>
        <v>11.10337347024614</v>
      </c>
      <c r="F35" s="88">
        <f>F23*$K$16^20</f>
        <v>49.577219567610591</v>
      </c>
      <c r="G35" s="88">
        <f>G23*$J$16^20</f>
        <v>2.8203124999999982</v>
      </c>
      <c r="H35" s="88">
        <f>H23*$J$16^20</f>
        <v>2.8203124999999982</v>
      </c>
      <c r="I35" s="132">
        <f>I23*$M$16^20</f>
        <v>41.897682846165615</v>
      </c>
      <c r="J35" s="88">
        <f>J23*$L$16^20</f>
        <v>0.64245939753244719</v>
      </c>
      <c r="K35" s="132">
        <f t="shared" ref="K35:O36" si="0">K23*$M$16^20</f>
        <v>0.73263021226186309</v>
      </c>
      <c r="L35" s="132">
        <f t="shared" si="0"/>
        <v>0.73263021226186309</v>
      </c>
      <c r="M35" s="132">
        <f t="shared" si="0"/>
        <v>1.2241434275419869</v>
      </c>
      <c r="N35" s="132">
        <f t="shared" si="0"/>
        <v>0.48537465348603565</v>
      </c>
      <c r="O35" s="132">
        <f t="shared" si="0"/>
        <v>1.4561239604581069</v>
      </c>
      <c r="P35" s="88">
        <f>P23*$G$16^20</f>
        <v>21.373894229257139</v>
      </c>
      <c r="Q35" s="88">
        <f>Q23*$I$16^20</f>
        <v>1.744743657988435</v>
      </c>
      <c r="R35" s="132">
        <f>R23*$M$16^20</f>
        <v>1.1387745914288547</v>
      </c>
      <c r="S35" s="88">
        <f>S23*$G$16^20</f>
        <v>11.995048869527963</v>
      </c>
    </row>
    <row r="36" spans="1:19" x14ac:dyDescent="0.15">
      <c r="A36" s="58"/>
      <c r="B36" t="s">
        <v>170</v>
      </c>
      <c r="C36" s="88">
        <f>C24*$H$16^20</f>
        <v>3.2585750755555525</v>
      </c>
      <c r="D36" s="88">
        <f>D24*$I$16^20</f>
        <v>4.1229935809701788</v>
      </c>
      <c r="E36" s="88">
        <f>E24*$M$16^20</f>
        <v>4.6897184534322811</v>
      </c>
      <c r="F36" s="88">
        <f>F24*$K$16^20</f>
        <v>138.95456300513075</v>
      </c>
      <c r="G36" s="88">
        <f>G24*$J$16^20</f>
        <v>2.9978511718749985</v>
      </c>
      <c r="H36" s="88">
        <f>H24*$J$16^20</f>
        <v>2.9978511718749985</v>
      </c>
      <c r="I36" s="88">
        <f>I24*$M$16^20</f>
        <v>40.522930518791931</v>
      </c>
      <c r="J36" s="88">
        <f>J24*$L$16^20</f>
        <v>1.5891094215670576</v>
      </c>
      <c r="K36" s="88">
        <f t="shared" si="0"/>
        <v>0.90251134098197561</v>
      </c>
      <c r="L36" s="88">
        <f t="shared" si="0"/>
        <v>0.90251134098197561</v>
      </c>
      <c r="M36" s="88">
        <f t="shared" si="0"/>
        <v>1.5479168728673778</v>
      </c>
      <c r="N36" s="88">
        <f t="shared" si="0"/>
        <v>3.1263837974541704</v>
      </c>
      <c r="O36" s="88">
        <f t="shared" si="0"/>
        <v>1.5846054863808812</v>
      </c>
      <c r="P36" s="88">
        <f>P24*$G$16^20</f>
        <v>31.28810911359481</v>
      </c>
      <c r="Q36" s="88">
        <f>Q24*$I$16^20</f>
        <v>4.1229935809701788</v>
      </c>
      <c r="R36" s="88">
        <f>R24*$M$16^20</f>
        <v>1.5092296578395199</v>
      </c>
      <c r="S36" s="88">
        <f>S24*$G$16^20</f>
        <v>24.067480725185909</v>
      </c>
    </row>
    <row r="37" spans="1:19" x14ac:dyDescent="0.15">
      <c r="A37" s="58"/>
      <c r="B37" s="1" t="s">
        <v>171</v>
      </c>
      <c r="C37" s="88">
        <f>C25*$H$13^20</f>
        <v>2.0925932797662474</v>
      </c>
      <c r="D37" s="88">
        <f>D25*$I$13^20</f>
        <v>2.0017042336503659</v>
      </c>
      <c r="E37" s="88">
        <f>E25*$M$13^20</f>
        <v>7.9878186532538979</v>
      </c>
      <c r="F37" s="88">
        <f>F25*$K$13^20</f>
        <v>105.8907248520709</v>
      </c>
      <c r="G37" s="88">
        <f>G25*$J$13^20</f>
        <v>1.7301087873165757</v>
      </c>
      <c r="H37" s="88">
        <f>H25*$J$13^20</f>
        <v>1.7301087873165757</v>
      </c>
      <c r="I37" s="88">
        <f>I25*$M$13^20</f>
        <v>11.434175894778765</v>
      </c>
      <c r="J37" s="88">
        <f>J25*$L$13^20</f>
        <v>0.82420488165680361</v>
      </c>
      <c r="K37" s="88">
        <f>K25*$M$13^20</f>
        <v>0.71284839691054547</v>
      </c>
      <c r="L37" s="88">
        <f>L25*$M$13^20</f>
        <v>0.71284839691054547</v>
      </c>
      <c r="M37" s="88">
        <f>M25*$M$13^20</f>
        <v>0</v>
      </c>
      <c r="N37" s="88">
        <f>N25*$M$13^20</f>
        <v>1.7392830938536714</v>
      </c>
      <c r="O37" s="88">
        <f>O25*$M$13^20</f>
        <v>1.6362144660697502</v>
      </c>
      <c r="P37" s="88">
        <f>P25*$G$13^20</f>
        <v>11.867040167822204</v>
      </c>
      <c r="Q37" s="88">
        <f>Q25*$I$13^20</f>
        <v>2.0017042336503659</v>
      </c>
      <c r="R37" s="88">
        <f>R25*$M$13^20</f>
        <v>0.74737638721815902</v>
      </c>
      <c r="S37" s="88">
        <f>S25*$G$13^20</f>
        <v>18.766307555555525</v>
      </c>
    </row>
    <row r="38" spans="1:19" x14ac:dyDescent="0.15">
      <c r="A38" s="58"/>
      <c r="B38" t="s">
        <v>166</v>
      </c>
      <c r="C38" s="88">
        <f>C26*$H$14^20</f>
        <v>4.6047851074380102</v>
      </c>
      <c r="D38" s="136">
        <f>D26*$I$14^20</f>
        <v>4.7120079084287152</v>
      </c>
      <c r="E38" s="136">
        <f>E26*$M$14^20</f>
        <v>10.188182582960318</v>
      </c>
      <c r="F38" s="136">
        <f>F26*$K$14^20</f>
        <v>162.51192278106501</v>
      </c>
      <c r="G38" s="136">
        <f>G26*$J$14^20</f>
        <v>3.8926186390532513</v>
      </c>
      <c r="H38" s="136">
        <f>H26*$J$14^20</f>
        <v>3.8926186390532513</v>
      </c>
      <c r="I38" s="136">
        <f>I26*$M$14^20</f>
        <v>11.841213263534835</v>
      </c>
      <c r="J38" s="136">
        <f>J26*$L$14^20</f>
        <v>1.8468570942714373</v>
      </c>
      <c r="K38" s="136">
        <f>K26*$M$14^20</f>
        <v>1.5977153733652774</v>
      </c>
      <c r="L38" s="136">
        <f>L26*$M$14^20</f>
        <v>1.5977153733652774</v>
      </c>
      <c r="M38" s="136">
        <f>M26*$M$14^20</f>
        <v>1.9435107938381777</v>
      </c>
      <c r="N38" s="136">
        <f>N26*$M$14^20</f>
        <v>3.1843676852887062</v>
      </c>
      <c r="O38" s="136">
        <f>O26*$M$14^20</f>
        <v>1.1810565593324311</v>
      </c>
      <c r="P38" s="136">
        <f>P26*$G$14^20</f>
        <v>14.289442305853418</v>
      </c>
      <c r="Q38" s="136">
        <f>Q26*$I$14^20</f>
        <v>4.7120079084287152</v>
      </c>
      <c r="R38" s="136">
        <f>R26*$M$14^20</f>
        <v>2.2576120382884861</v>
      </c>
      <c r="S38" s="136">
        <f>S26*$G$14^20</f>
        <v>15.234060077863528</v>
      </c>
    </row>
    <row r="39" spans="1:19" x14ac:dyDescent="0.15">
      <c r="A39" s="58"/>
      <c r="B39" t="s">
        <v>169</v>
      </c>
      <c r="C39" s="130">
        <f>C27*$H$15^20</f>
        <v>12.189553189574488</v>
      </c>
      <c r="D39" s="136">
        <f>D27*$I$15^20</f>
        <v>4.9659904000000088</v>
      </c>
      <c r="E39" s="136">
        <f>E27*$M$15^20</f>
        <v>11.203764613620537</v>
      </c>
      <c r="F39" s="136">
        <f>F27*$K$15^20</f>
        <v>117.79760444905287</v>
      </c>
      <c r="G39" s="136">
        <f>G27*$J$15^20</f>
        <v>3.8097572231833974</v>
      </c>
      <c r="H39" s="136">
        <f>H27*$J$15^20</f>
        <v>3.8097572231833974</v>
      </c>
      <c r="I39" s="136">
        <f>I27*$M$15^20</f>
        <v>6.0464761406840992</v>
      </c>
      <c r="J39" s="136">
        <f>J27*$L$15^20</f>
        <v>1.2250779629448121</v>
      </c>
      <c r="K39" s="136">
        <f>K27*$M$15^20</f>
        <v>0</v>
      </c>
      <c r="L39" s="136">
        <f>L27*$M$15^20</f>
        <v>0</v>
      </c>
      <c r="M39" s="136">
        <f>M27*$M$15^20</f>
        <v>3.4060867125674825</v>
      </c>
      <c r="N39" s="136">
        <f>N27*$M$15^20</f>
        <v>1.6645593140236226</v>
      </c>
      <c r="O39" s="136">
        <f>O27*$M$15^20</f>
        <v>2.404363453589677</v>
      </c>
      <c r="P39" s="136">
        <f>P27*$G$15^20</f>
        <v>8.708916323731124</v>
      </c>
      <c r="Q39" s="136">
        <f>Q27*$I$15^20</f>
        <v>4.9659904000000088</v>
      </c>
      <c r="R39" s="136">
        <f>R27*$M$15^20</f>
        <v>1.8954635675843354</v>
      </c>
      <c r="S39" s="136">
        <f>S27*$G$15^20</f>
        <v>26.313709739368957</v>
      </c>
    </row>
    <row r="40" spans="1:19" x14ac:dyDescent="0.15">
      <c r="A40" s="58"/>
      <c r="B40" s="16" t="s">
        <v>168</v>
      </c>
      <c r="C40" s="116">
        <f>C28*$H$16^20</f>
        <v>7.944975802469127</v>
      </c>
      <c r="D40" s="116">
        <f>D28*$I$16^20</f>
        <v>2.0135838993964805</v>
      </c>
      <c r="E40" s="116">
        <f>E28*$M$16^20</f>
        <v>10.278522073821931</v>
      </c>
      <c r="F40" s="116">
        <f>F28*$K$16^20</f>
        <v>142.79804621785266</v>
      </c>
      <c r="G40" s="116">
        <f t="shared" ref="G40:H42" si="1">G28*$J$16^20</f>
        <v>3.4038351562499982</v>
      </c>
      <c r="H40" s="116">
        <f t="shared" si="1"/>
        <v>3.4038351562499982</v>
      </c>
      <c r="I40" s="116">
        <f>I28*$M$16^20</f>
        <v>9.7838681990192509</v>
      </c>
      <c r="J40" s="116">
        <f>J28*$L$16^20</f>
        <v>0.97256197724723659</v>
      </c>
      <c r="K40" s="116">
        <f t="shared" ref="K40:O42" si="2">K28*$M$16^20</f>
        <v>1.1817445239874713</v>
      </c>
      <c r="L40" s="116">
        <f t="shared" si="2"/>
        <v>1.1817445239874713</v>
      </c>
      <c r="M40" s="116">
        <f t="shared" si="2"/>
        <v>3.2548653233769445</v>
      </c>
      <c r="N40" s="116">
        <f t="shared" si="2"/>
        <v>2.8408692954035613</v>
      </c>
      <c r="O40" s="116">
        <f t="shared" si="2"/>
        <v>2.1413587653795689</v>
      </c>
      <c r="P40" s="116">
        <f>P28*$G$16^20</f>
        <v>6.4603817108446515</v>
      </c>
      <c r="Q40" s="116">
        <f>Q28*$I$16^20</f>
        <v>2.0135838993964805</v>
      </c>
      <c r="R40" s="116">
        <f>R28*$M$16^20</f>
        <v>1.1753204476913328</v>
      </c>
      <c r="S40" s="116">
        <f>S28*$G$16^20</f>
        <v>23.581916207607879</v>
      </c>
    </row>
    <row r="41" spans="1:19" x14ac:dyDescent="0.15">
      <c r="A41" s="58"/>
      <c r="B41" t="s">
        <v>173</v>
      </c>
      <c r="C41" s="88">
        <f>C29*$H$16^20</f>
        <v>2.4673406103703681</v>
      </c>
      <c r="D41" s="88">
        <f>D29*$I$16^20</f>
        <v>1.744743657988435</v>
      </c>
      <c r="E41" s="88">
        <f>E29*$M$16^20</f>
        <v>11.10337347024614</v>
      </c>
      <c r="F41" s="88">
        <f>F29*$K$16^20</f>
        <v>49.577219567610591</v>
      </c>
      <c r="G41" s="88">
        <f t="shared" si="1"/>
        <v>2.8203124999999982</v>
      </c>
      <c r="H41" s="88">
        <f t="shared" si="1"/>
        <v>2.8203124999999982</v>
      </c>
      <c r="I41" s="88">
        <f>I29*$M$16^20</f>
        <v>41.897682846165615</v>
      </c>
      <c r="J41" s="88">
        <f>J29*$L$16^20</f>
        <v>0.64245939753244719</v>
      </c>
      <c r="K41" s="88">
        <f t="shared" si="2"/>
        <v>0.73263021226186309</v>
      </c>
      <c r="L41" s="88">
        <f t="shared" si="2"/>
        <v>0.73263021226186309</v>
      </c>
      <c r="M41" s="88">
        <f t="shared" si="2"/>
        <v>1.2241434275419869</v>
      </c>
      <c r="N41" s="88">
        <f t="shared" si="2"/>
        <v>0.48537465348603565</v>
      </c>
      <c r="O41" s="88">
        <f t="shared" si="2"/>
        <v>1.4561239604581069</v>
      </c>
      <c r="P41" s="88">
        <f>P29*$G$16^20</f>
        <v>21.373894229257139</v>
      </c>
      <c r="Q41" s="88">
        <f>Q29*$I$16^20</f>
        <v>1.744743657988435</v>
      </c>
      <c r="R41" s="88">
        <f>R29*$M$16^20</f>
        <v>1.1387745914288547</v>
      </c>
      <c r="S41" s="88">
        <f>S29*$G$16^20</f>
        <v>11.995048869527963</v>
      </c>
    </row>
    <row r="42" spans="1:19" x14ac:dyDescent="0.15">
      <c r="A42" s="122"/>
      <c r="B42" t="s">
        <v>176</v>
      </c>
      <c r="C42" s="88">
        <f>C30*$H$16^20</f>
        <v>3.2585750755555525</v>
      </c>
      <c r="D42" s="88">
        <f>D30*$I$16^20</f>
        <v>4.1229935809701788</v>
      </c>
      <c r="E42" s="88">
        <f>E30*$M$16^20</f>
        <v>4.6897184534322811</v>
      </c>
      <c r="F42" s="88">
        <f>F30*$K$16^20</f>
        <v>138.95456300513075</v>
      </c>
      <c r="G42" s="88">
        <f t="shared" si="1"/>
        <v>2.9978511718749985</v>
      </c>
      <c r="H42" s="88">
        <f t="shared" si="1"/>
        <v>2.9978511718749985</v>
      </c>
      <c r="I42" s="88">
        <f>I30*$M$16^20</f>
        <v>40.522930518791931</v>
      </c>
      <c r="J42" s="88">
        <f>J30*$L$16^20</f>
        <v>1.5891094215670576</v>
      </c>
      <c r="K42" s="88">
        <f t="shared" si="2"/>
        <v>0.90251134098197561</v>
      </c>
      <c r="L42" s="88">
        <f t="shared" si="2"/>
        <v>0.90251134098197561</v>
      </c>
      <c r="M42" s="88">
        <f t="shared" si="2"/>
        <v>1.5479168728673778</v>
      </c>
      <c r="N42" s="88">
        <f t="shared" si="2"/>
        <v>3.1263837974541704</v>
      </c>
      <c r="O42" s="88">
        <f t="shared" si="2"/>
        <v>1.5846054863808812</v>
      </c>
      <c r="P42" s="88">
        <f>P30*$G$16^20</f>
        <v>31.28810911359481</v>
      </c>
      <c r="Q42" s="88">
        <f>Q30*$I$16^20</f>
        <v>4.1229935809701788</v>
      </c>
      <c r="R42" s="88">
        <f>R30*$M$16^20</f>
        <v>1.5092296578395199</v>
      </c>
      <c r="S42" s="88">
        <f>S30*$G$16^20</f>
        <v>24.067480725185909</v>
      </c>
    </row>
    <row r="43" spans="1:19" x14ac:dyDescent="0.15">
      <c r="A43" s="122"/>
      <c r="B43" s="1" t="s">
        <v>177</v>
      </c>
      <c r="C43" s="88">
        <f>C31*$H$13^20</f>
        <v>2.0925932797662474</v>
      </c>
      <c r="D43" s="88">
        <f>D31*$I$13^20</f>
        <v>2.0017042336503659</v>
      </c>
      <c r="E43" s="88">
        <f>E31*$M$13^20</f>
        <v>7.9878186532538979</v>
      </c>
      <c r="F43" s="88">
        <f>F31*$K$13^20</f>
        <v>105.8907248520709</v>
      </c>
      <c r="G43" s="88">
        <f>G31*$J$13^20</f>
        <v>1.7301087873165757</v>
      </c>
      <c r="H43" s="88">
        <f>H31*$J$13^20</f>
        <v>1.7301087873165757</v>
      </c>
      <c r="I43" s="88">
        <f>I31*$M$13^20</f>
        <v>11.434175894778765</v>
      </c>
      <c r="J43" s="88">
        <f>J31*$L$13^20</f>
        <v>0.82420488165680361</v>
      </c>
      <c r="K43" s="88">
        <f>K31*$M$13^20</f>
        <v>0.71284839691054547</v>
      </c>
      <c r="L43" s="88">
        <f>L31*$M$13^20</f>
        <v>0.71284839691054547</v>
      </c>
      <c r="M43" s="88">
        <f>M31*$M$13^20</f>
        <v>0</v>
      </c>
      <c r="N43" s="88">
        <f>N31*$M$13^20</f>
        <v>1.7392830938536714</v>
      </c>
      <c r="O43" s="88">
        <f>O31*$M$13^20</f>
        <v>1.6362144660697502</v>
      </c>
      <c r="P43" s="88">
        <f>P31*$G$13^20</f>
        <v>11.867040167822204</v>
      </c>
      <c r="Q43" s="88">
        <f>Q31*$I$13^20</f>
        <v>2.0017042336503659</v>
      </c>
      <c r="R43" s="88">
        <f>R31*$M$13^20</f>
        <v>0.74737638721815902</v>
      </c>
      <c r="S43" s="88">
        <f>S31*$G$13^20</f>
        <v>18.766307555555525</v>
      </c>
    </row>
    <row r="44" spans="1:19" x14ac:dyDescent="0.15">
      <c r="A44" s="122"/>
      <c r="B44" t="s">
        <v>172</v>
      </c>
      <c r="C44" s="88">
        <f>C32*$H$14^20</f>
        <v>4.6047851074380102</v>
      </c>
      <c r="D44" s="136">
        <f>D32*$I$14^20</f>
        <v>4.7120079084287152</v>
      </c>
      <c r="E44" s="136">
        <f>E32*$M$14^20</f>
        <v>10.188182582960318</v>
      </c>
      <c r="F44" s="136">
        <f>F32*$K$14^20</f>
        <v>162.51192278106501</v>
      </c>
      <c r="G44" s="136">
        <f>G32*$J$14^20</f>
        <v>3.8926186390532513</v>
      </c>
      <c r="H44" s="136">
        <f>H32*$J$14^20</f>
        <v>3.8926186390532513</v>
      </c>
      <c r="I44" s="136">
        <f>I32*$M$14^20</f>
        <v>11.841213263534835</v>
      </c>
      <c r="J44" s="136">
        <f>J32*$L$14^20</f>
        <v>1.8468570942714373</v>
      </c>
      <c r="K44" s="136">
        <f>K32*$M$14^20</f>
        <v>1.5977153733652774</v>
      </c>
      <c r="L44" s="136">
        <f>L32*$M$14^20</f>
        <v>1.5977153733652774</v>
      </c>
      <c r="M44" s="136">
        <f>M32*$M$14^20</f>
        <v>1.9435107938381777</v>
      </c>
      <c r="N44" s="136">
        <f>N32*$M$14^20</f>
        <v>3.1843676852887062</v>
      </c>
      <c r="O44" s="136">
        <f>O32*$M$14^20</f>
        <v>1.1810565593324311</v>
      </c>
      <c r="P44" s="136">
        <f>P32*$G$14^20</f>
        <v>14.289442305853418</v>
      </c>
      <c r="Q44" s="136">
        <f>Q32*$I$14^20</f>
        <v>4.7120079084287152</v>
      </c>
      <c r="R44" s="136">
        <f>R32*$M$14^20</f>
        <v>2.2576120382884861</v>
      </c>
      <c r="S44" s="136">
        <f>S32*$G$14^20</f>
        <v>15.234060077863528</v>
      </c>
    </row>
    <row r="45" spans="1:19" x14ac:dyDescent="0.15">
      <c r="A45" s="122"/>
      <c r="B45" s="1" t="s">
        <v>175</v>
      </c>
      <c r="C45" s="130">
        <f>C33*$H$15^20</f>
        <v>12.189553189574488</v>
      </c>
      <c r="D45" s="136">
        <f>D33*$I$15^20</f>
        <v>4.9659904000000088</v>
      </c>
      <c r="E45" s="136">
        <f>E33*$M$15^20</f>
        <v>11.203764613620537</v>
      </c>
      <c r="F45" s="136">
        <f>F33*$K$15^20</f>
        <v>117.79760444905287</v>
      </c>
      <c r="G45" s="136">
        <f>G33*$J$15^20</f>
        <v>3.8097572231833974</v>
      </c>
      <c r="H45" s="136">
        <f>H33*$J$15^20</f>
        <v>3.8097572231833974</v>
      </c>
      <c r="I45" s="136">
        <f>I33*$M$15^20</f>
        <v>6.0464761406840992</v>
      </c>
      <c r="J45" s="136">
        <f>J33*$L$15^20</f>
        <v>1.2250779629448121</v>
      </c>
      <c r="K45" s="136">
        <f>K33*$M$15^20</f>
        <v>0</v>
      </c>
      <c r="L45" s="136">
        <f>L33*$M$15^20</f>
        <v>0</v>
      </c>
      <c r="M45" s="136">
        <f>M33*$M$15^20</f>
        <v>3.4060867125674825</v>
      </c>
      <c r="N45" s="136">
        <f>N33*$M$15^20</f>
        <v>1.6645593140236226</v>
      </c>
      <c r="O45" s="136">
        <f>O33*$M$15^20</f>
        <v>2.404363453589677</v>
      </c>
      <c r="P45" s="136">
        <f>P33*$G$15^20</f>
        <v>8.708916323731124</v>
      </c>
      <c r="Q45" s="136">
        <f>Q33*$I$15^20</f>
        <v>4.9659904000000088</v>
      </c>
      <c r="R45" s="136">
        <f>R33*$M$15^20</f>
        <v>1.8954635675843354</v>
      </c>
      <c r="S45" s="136">
        <f>S33*$G$15^20</f>
        <v>26.313709739368957</v>
      </c>
    </row>
    <row r="46" spans="1:19" x14ac:dyDescent="0.15">
      <c r="A46" s="120"/>
      <c r="B46" s="16" t="s">
        <v>174</v>
      </c>
      <c r="C46" s="116">
        <f>C34*$H$16^20</f>
        <v>7.944975802469127</v>
      </c>
      <c r="D46" s="116">
        <f>D34*$I$16^20</f>
        <v>2.0135838993964805</v>
      </c>
      <c r="E46" s="116">
        <f>E34*$M$16^20</f>
        <v>10.278522073821931</v>
      </c>
      <c r="F46" s="116">
        <f>F34*$K$16^20</f>
        <v>142.79804621785266</v>
      </c>
      <c r="G46" s="116">
        <f t="shared" ref="G46:H48" si="3">G34*$J$16^20</f>
        <v>3.4038351562499982</v>
      </c>
      <c r="H46" s="116">
        <f t="shared" si="3"/>
        <v>3.4038351562499982</v>
      </c>
      <c r="I46" s="116">
        <f>I34*$M$16^20</f>
        <v>9.7838681990192509</v>
      </c>
      <c r="J46" s="116">
        <f>J34*$L$16^20</f>
        <v>0.97256197724723659</v>
      </c>
      <c r="K46" s="116">
        <f t="shared" ref="K46:O48" si="4">K34*$M$16^20</f>
        <v>1.1817445239874713</v>
      </c>
      <c r="L46" s="116">
        <f t="shared" si="4"/>
        <v>1.1817445239874713</v>
      </c>
      <c r="M46" s="116">
        <f t="shared" si="4"/>
        <v>3.2548653233769445</v>
      </c>
      <c r="N46" s="116">
        <f t="shared" si="4"/>
        <v>2.8408692954035613</v>
      </c>
      <c r="O46" s="116">
        <f t="shared" si="4"/>
        <v>2.1413587653795689</v>
      </c>
      <c r="P46" s="116">
        <f>P34*$G$16^20</f>
        <v>6.4603817108446515</v>
      </c>
      <c r="Q46" s="116">
        <f>Q34*$I$16^20</f>
        <v>2.0135838993964805</v>
      </c>
      <c r="R46" s="116">
        <f>R34*$M$16^20</f>
        <v>1.1753204476913328</v>
      </c>
      <c r="S46" s="116">
        <f>S34*$G$16^20</f>
        <v>23.581916207607879</v>
      </c>
    </row>
    <row r="47" spans="1:19" x14ac:dyDescent="0.15">
      <c r="A47" s="58" t="s">
        <v>362</v>
      </c>
      <c r="B47" t="s">
        <v>167</v>
      </c>
      <c r="C47" s="88">
        <f>C35*$H$16^20</f>
        <v>3.5005288296146397</v>
      </c>
      <c r="D47" s="88">
        <f>D35*$I$16^20</f>
        <v>2.7097475806399016</v>
      </c>
      <c r="E47" s="132">
        <f>E35*$M$16^20</f>
        <v>15.850870737196356</v>
      </c>
      <c r="F47" s="88">
        <f>F35*$K$16^20</f>
        <v>62.627098909334066</v>
      </c>
      <c r="G47" s="88">
        <f t="shared" si="3"/>
        <v>3.9770812988281201</v>
      </c>
      <c r="H47" s="88">
        <f t="shared" si="3"/>
        <v>3.9770812988281201</v>
      </c>
      <c r="I47" s="132">
        <f>I35*$M$16^20</f>
        <v>59.811980274486629</v>
      </c>
      <c r="J47" s="88">
        <f>J35*$L$16^20</f>
        <v>1.008931990901381</v>
      </c>
      <c r="K47" s="132">
        <f t="shared" si="4"/>
        <v>1.0458827512058897</v>
      </c>
      <c r="L47" s="132">
        <f t="shared" si="4"/>
        <v>1.0458827512058897</v>
      </c>
      <c r="M47" s="132">
        <f t="shared" si="4"/>
        <v>1.7475535057658818</v>
      </c>
      <c r="N47" s="132">
        <f t="shared" si="4"/>
        <v>0.69290751249026217</v>
      </c>
      <c r="O47" s="132">
        <f t="shared" si="4"/>
        <v>2.0787225374707865</v>
      </c>
      <c r="P47" s="88">
        <f>P35*$G$16^20</f>
        <v>29.325811359686718</v>
      </c>
      <c r="Q47" s="88">
        <f>Q35*$I$16^20</f>
        <v>2.7097475806399016</v>
      </c>
      <c r="R47" s="132">
        <f>R35*$M$16^20</f>
        <v>1.6256833020984769</v>
      </c>
      <c r="S47" s="88">
        <f>S35*$G$16^20</f>
        <v>16.45767199111971</v>
      </c>
    </row>
    <row r="48" spans="1:19" x14ac:dyDescent="0.15">
      <c r="A48" s="58"/>
      <c r="B48" t="s">
        <v>170</v>
      </c>
      <c r="C48" s="88">
        <f>C36*$H$16^20</f>
        <v>4.623089308181763</v>
      </c>
      <c r="D48" s="88">
        <f>D36*$I$16^20</f>
        <v>6.4033887327085157</v>
      </c>
      <c r="E48" s="88">
        <f>E36*$M$16^20</f>
        <v>6.6949131449463533</v>
      </c>
      <c r="F48" s="88">
        <f>F36*$K$16^20</f>
        <v>175.53064163588047</v>
      </c>
      <c r="G48" s="88">
        <f t="shared" si="3"/>
        <v>4.2274385665893508</v>
      </c>
      <c r="H48" s="88">
        <f t="shared" si="3"/>
        <v>4.2274385665893508</v>
      </c>
      <c r="I48" s="88">
        <f>I36*$M$16^20</f>
        <v>57.849421643521559</v>
      </c>
      <c r="J48" s="88">
        <f>J36*$L$16^20</f>
        <v>2.49557145341752</v>
      </c>
      <c r="K48" s="88">
        <f t="shared" si="4"/>
        <v>1.2884003805774815</v>
      </c>
      <c r="L48" s="88">
        <f t="shared" si="4"/>
        <v>1.2884003805774815</v>
      </c>
      <c r="M48" s="88">
        <f t="shared" si="4"/>
        <v>2.2097635758623273</v>
      </c>
      <c r="N48" s="88">
        <f t="shared" si="4"/>
        <v>4.4631395657461006</v>
      </c>
      <c r="O48" s="88">
        <f t="shared" si="4"/>
        <v>2.2621392319535034</v>
      </c>
      <c r="P48" s="88">
        <f>P36*$G$16^20</f>
        <v>42.928498467565689</v>
      </c>
      <c r="Q48" s="88">
        <f>Q36*$I$16^20</f>
        <v>6.4033887327085157</v>
      </c>
      <c r="R48" s="88">
        <f>R36*$M$16^20</f>
        <v>2.1545347711903089</v>
      </c>
      <c r="S48" s="88">
        <f>S36*$G$16^20</f>
        <v>33.021516438664833</v>
      </c>
    </row>
    <row r="49" spans="1:19" x14ac:dyDescent="0.15">
      <c r="A49" s="58"/>
      <c r="B49" s="1" t="s">
        <v>171</v>
      </c>
      <c r="C49" s="88">
        <f>C37*$H$13^20</f>
        <v>2.5695027781497832</v>
      </c>
      <c r="D49" s="88">
        <f>D37*$I$13^20</f>
        <v>2.6747795988076093</v>
      </c>
      <c r="E49" s="88">
        <f>E37*$M$13^20</f>
        <v>10.291168844721115</v>
      </c>
      <c r="F49" s="88">
        <f>F37*$K$13^20</f>
        <v>140.9787756906268</v>
      </c>
      <c r="G49" s="88">
        <f>G37*$J$13^20</f>
        <v>2.6335354706581313</v>
      </c>
      <c r="H49" s="88">
        <f>H37*$J$13^20</f>
        <v>2.6335354706581313</v>
      </c>
      <c r="I49" s="88">
        <f>I37*$M$13^20</f>
        <v>14.731310241435468</v>
      </c>
      <c r="J49" s="88">
        <f>J37*$L$13^20</f>
        <v>1.025379150108537</v>
      </c>
      <c r="K49" s="88">
        <f>K37*$M$13^20</f>
        <v>0.91840382609422477</v>
      </c>
      <c r="L49" s="88">
        <f>L37*$M$13^20</f>
        <v>0.91840382609422477</v>
      </c>
      <c r="M49" s="88">
        <f>M37*$M$13^20</f>
        <v>0</v>
      </c>
      <c r="N49" s="88">
        <f>N37*$M$13^20</f>
        <v>2.2408190226408884</v>
      </c>
      <c r="O49" s="88">
        <f>O37*$M$13^20</f>
        <v>2.1080297472251317</v>
      </c>
      <c r="P49" s="88">
        <f>P37*$G$13^20</f>
        <v>13.100030915498984</v>
      </c>
      <c r="Q49" s="88">
        <f>Q37*$I$13^20</f>
        <v>2.6747795988076093</v>
      </c>
      <c r="R49" s="88">
        <f>R37*$M$13^20</f>
        <v>0.96288823335850304</v>
      </c>
      <c r="S49" s="88">
        <f>S37*$G$13^20</f>
        <v>20.716135251158846</v>
      </c>
    </row>
    <row r="50" spans="1:19" x14ac:dyDescent="0.15">
      <c r="A50" s="58"/>
      <c r="B50" t="s">
        <v>166</v>
      </c>
      <c r="C50" s="88">
        <f>C38*$H$14^20</f>
        <v>7.3528143025462542</v>
      </c>
      <c r="D50" s="136">
        <f>D38*$I$14^20</f>
        <v>7.0802699477326296</v>
      </c>
      <c r="E50" s="136">
        <f>E38*$M$14^20</f>
        <v>15.231417553521156</v>
      </c>
      <c r="F50" s="136">
        <f>F38*$K$14^20</f>
        <v>223.63419551344029</v>
      </c>
      <c r="G50" s="136">
        <f>G38*$J$14^20</f>
        <v>5.5337374439795441</v>
      </c>
      <c r="H50" s="136">
        <f>H38*$J$14^20</f>
        <v>5.5337374439795441</v>
      </c>
      <c r="I50" s="136">
        <f>I38*$M$14^20</f>
        <v>17.702712146015187</v>
      </c>
      <c r="J50" s="136">
        <f>J38*$L$14^20</f>
        <v>2.641227448242788</v>
      </c>
      <c r="K50" s="136">
        <f>K38*$M$14^20</f>
        <v>2.3885977489358545</v>
      </c>
      <c r="L50" s="136">
        <f>L38*$M$14^20</f>
        <v>2.3885977489358545</v>
      </c>
      <c r="M50" s="136">
        <f>M38*$M$14^20</f>
        <v>2.9055647736657719</v>
      </c>
      <c r="N50" s="136">
        <f>N38*$M$14^20</f>
        <v>4.760656129160072</v>
      </c>
      <c r="O50" s="136">
        <f>O38*$M$14^20</f>
        <v>1.7656893624584309</v>
      </c>
      <c r="P50" s="136">
        <f>P38*$G$14^20</f>
        <v>23.75164728879507</v>
      </c>
      <c r="Q50" s="136">
        <f>Q38*$I$14^20</f>
        <v>7.0802699477326296</v>
      </c>
      <c r="R50" s="136">
        <f>R38*$M$14^20</f>
        <v>3.3751487420866786</v>
      </c>
      <c r="S50" s="136">
        <f>S38*$G$14^20</f>
        <v>25.321773516487031</v>
      </c>
    </row>
    <row r="51" spans="1:19" x14ac:dyDescent="0.15">
      <c r="A51" s="58"/>
      <c r="B51" t="s">
        <v>169</v>
      </c>
      <c r="C51" s="130">
        <f>C39*$H$15^20</f>
        <v>14.950165208876971</v>
      </c>
      <c r="D51" s="136">
        <f>D39*$I$15^20</f>
        <v>8.1362786713600297</v>
      </c>
      <c r="E51" s="136">
        <f>E39*$M$15^20</f>
        <v>15.939598922846443</v>
      </c>
      <c r="F51" s="136">
        <f>F39*$K$15^20</f>
        <v>129.51185392532329</v>
      </c>
      <c r="G51" s="136">
        <f>G39*$J$15^20</f>
        <v>8.0751363634127458</v>
      </c>
      <c r="H51" s="136">
        <f>H39*$J$15^20</f>
        <v>8.0751363634127458</v>
      </c>
      <c r="I51" s="136">
        <f>I39*$M$15^20</f>
        <v>8.6023232282028417</v>
      </c>
      <c r="J51" s="136">
        <f>J39*$L$15^20</f>
        <v>1.5334791205609588</v>
      </c>
      <c r="K51" s="136">
        <f>K39*$M$15^20</f>
        <v>0</v>
      </c>
      <c r="L51" s="136">
        <f>L39*$M$15^20</f>
        <v>0</v>
      </c>
      <c r="M51" s="136">
        <f>M39*$M$15^20</f>
        <v>4.845840480150688</v>
      </c>
      <c r="N51" s="136">
        <f>N39*$M$15^20</f>
        <v>2.3681689828228998</v>
      </c>
      <c r="O51" s="136">
        <f>O39*$M$15^20</f>
        <v>3.4206885307441888</v>
      </c>
      <c r="P51" s="136">
        <f>P39*$G$15^20</f>
        <v>12.233100569959747</v>
      </c>
      <c r="Q51" s="136">
        <f>Q39*$I$15^20</f>
        <v>8.1362786713600297</v>
      </c>
      <c r="R51" s="136">
        <f>R39*$M$15^20</f>
        <v>2.6966765263375638</v>
      </c>
      <c r="S51" s="136">
        <f>S39*$G$15^20</f>
        <v>36.961918755985963</v>
      </c>
    </row>
    <row r="52" spans="1:19" x14ac:dyDescent="0.15">
      <c r="A52" s="58"/>
      <c r="B52" s="16" t="s">
        <v>168</v>
      </c>
      <c r="C52" s="116">
        <f>C40*$H$16^20</f>
        <v>11.271900089610707</v>
      </c>
      <c r="D52" s="116">
        <f>D40*$I$16^20</f>
        <v>3.1272812340213929</v>
      </c>
      <c r="E52" s="116">
        <f>E40*$M$16^20</f>
        <v>14.673335558617316</v>
      </c>
      <c r="F52" s="116">
        <f>F40*$K$16^20</f>
        <v>180.38581918352892</v>
      </c>
      <c r="G52" s="116">
        <f t="shared" ref="G52:H54" si="5">G40*$J$16^20</f>
        <v>4.7999394195556588</v>
      </c>
      <c r="H52" s="116">
        <f t="shared" si="5"/>
        <v>4.7999394195556588</v>
      </c>
      <c r="I52" s="116">
        <f>I40*$M$16^20</f>
        <v>13.967181284858858</v>
      </c>
      <c r="J52" s="116">
        <f>J40*$L$16^20</f>
        <v>1.5273321485339164</v>
      </c>
      <c r="K52" s="116">
        <f t="shared" ref="K52:O54" si="6">K40*$M$16^20</f>
        <v>1.6870259965865853</v>
      </c>
      <c r="L52" s="116">
        <f t="shared" si="6"/>
        <v>1.6870259965865853</v>
      </c>
      <c r="M52" s="116">
        <f t="shared" si="6"/>
        <v>4.6465562602288166</v>
      </c>
      <c r="N52" s="116">
        <f t="shared" si="6"/>
        <v>4.0555469113400635</v>
      </c>
      <c r="O52" s="116">
        <f t="shared" si="6"/>
        <v>3.0569449080452742</v>
      </c>
      <c r="P52" s="116">
        <f>P40*$G$16^20</f>
        <v>8.8638941192320591</v>
      </c>
      <c r="Q52" s="116">
        <f>Q40*$I$16^20</f>
        <v>3.1272812340213929</v>
      </c>
      <c r="R52" s="116">
        <f>R40*$M$16^20</f>
        <v>1.6778551618624498</v>
      </c>
      <c r="S52" s="116">
        <f>S40*$G$16^20</f>
        <v>32.355303099499004</v>
      </c>
    </row>
    <row r="53" spans="1:19" x14ac:dyDescent="0.15">
      <c r="A53" s="58"/>
      <c r="B53" t="s">
        <v>173</v>
      </c>
      <c r="C53" s="88">
        <f>C41*$H$16^20</f>
        <v>3.5005288296146397</v>
      </c>
      <c r="D53" s="88">
        <f>D41*$I$16^20</f>
        <v>2.7097475806399016</v>
      </c>
      <c r="E53" s="88">
        <f>E41*$M$16^20</f>
        <v>15.850870737196356</v>
      </c>
      <c r="F53" s="88">
        <f>F41*$K$16^20</f>
        <v>62.627098909334066</v>
      </c>
      <c r="G53" s="88">
        <f t="shared" si="5"/>
        <v>3.9770812988281201</v>
      </c>
      <c r="H53" s="88">
        <f t="shared" si="5"/>
        <v>3.9770812988281201</v>
      </c>
      <c r="I53" s="88">
        <f>I41*$M$16^20</f>
        <v>59.811980274486629</v>
      </c>
      <c r="J53" s="88">
        <f>J41*$L$16^20</f>
        <v>1.008931990901381</v>
      </c>
      <c r="K53" s="88">
        <f t="shared" si="6"/>
        <v>1.0458827512058897</v>
      </c>
      <c r="L53" s="88">
        <f t="shared" si="6"/>
        <v>1.0458827512058897</v>
      </c>
      <c r="M53" s="88">
        <f t="shared" si="6"/>
        <v>1.7475535057658818</v>
      </c>
      <c r="N53" s="88">
        <f t="shared" si="6"/>
        <v>0.69290751249026217</v>
      </c>
      <c r="O53" s="88">
        <f t="shared" si="6"/>
        <v>2.0787225374707865</v>
      </c>
      <c r="P53" s="88">
        <f>P41*$G$16^20</f>
        <v>29.325811359686718</v>
      </c>
      <c r="Q53" s="88">
        <f>Q41*$I$16^20</f>
        <v>2.7097475806399016</v>
      </c>
      <c r="R53" s="88">
        <f>R41*$M$16^20</f>
        <v>1.6256833020984769</v>
      </c>
      <c r="S53" s="88">
        <f>S41*$G$16^20</f>
        <v>16.45767199111971</v>
      </c>
    </row>
    <row r="54" spans="1:19" x14ac:dyDescent="0.15">
      <c r="A54" s="122"/>
      <c r="B54" t="s">
        <v>176</v>
      </c>
      <c r="C54" s="88">
        <f>C42*$H$16^20</f>
        <v>4.623089308181763</v>
      </c>
      <c r="D54" s="88">
        <f>D42*$I$16^20</f>
        <v>6.4033887327085157</v>
      </c>
      <c r="E54" s="88">
        <f>E42*$M$16^20</f>
        <v>6.6949131449463533</v>
      </c>
      <c r="F54" s="88">
        <f>F42*$K$16^20</f>
        <v>175.53064163588047</v>
      </c>
      <c r="G54" s="88">
        <f t="shared" si="5"/>
        <v>4.2274385665893508</v>
      </c>
      <c r="H54" s="88">
        <f t="shared" si="5"/>
        <v>4.2274385665893508</v>
      </c>
      <c r="I54" s="88">
        <f>I42*$M$16^20</f>
        <v>57.849421643521559</v>
      </c>
      <c r="J54" s="88">
        <f>J42*$L$16^20</f>
        <v>2.49557145341752</v>
      </c>
      <c r="K54" s="88">
        <f t="shared" si="6"/>
        <v>1.2884003805774815</v>
      </c>
      <c r="L54" s="88">
        <f t="shared" si="6"/>
        <v>1.2884003805774815</v>
      </c>
      <c r="M54" s="88">
        <f t="shared" si="6"/>
        <v>2.2097635758623273</v>
      </c>
      <c r="N54" s="88">
        <f t="shared" si="6"/>
        <v>4.4631395657461006</v>
      </c>
      <c r="O54" s="88">
        <f t="shared" si="6"/>
        <v>2.2621392319535034</v>
      </c>
      <c r="P54" s="88">
        <f>P42*$G$16^20</f>
        <v>42.928498467565689</v>
      </c>
      <c r="Q54" s="88">
        <f>Q42*$I$16^20</f>
        <v>6.4033887327085157</v>
      </c>
      <c r="R54" s="88">
        <f>R42*$M$16^20</f>
        <v>2.1545347711903089</v>
      </c>
      <c r="S54" s="88">
        <f>S42*$G$16^20</f>
        <v>33.021516438664833</v>
      </c>
    </row>
    <row r="55" spans="1:19" x14ac:dyDescent="0.15">
      <c r="A55" s="122"/>
      <c r="B55" s="1" t="s">
        <v>177</v>
      </c>
      <c r="C55" s="88">
        <f>C43*$H$13^20</f>
        <v>2.5695027781497832</v>
      </c>
      <c r="D55" s="88">
        <f>D43*$I$13^20</f>
        <v>2.6747795988076093</v>
      </c>
      <c r="E55" s="88">
        <f>E43*$M$13^20</f>
        <v>10.291168844721115</v>
      </c>
      <c r="F55" s="88">
        <f>F43*$K$13^20</f>
        <v>140.9787756906268</v>
      </c>
      <c r="G55" s="88">
        <f>G43*$J$13^20</f>
        <v>2.6335354706581313</v>
      </c>
      <c r="H55" s="88">
        <f>H43*$J$13^20</f>
        <v>2.6335354706581313</v>
      </c>
      <c r="I55" s="88">
        <f>I43*$M$13^20</f>
        <v>14.731310241435468</v>
      </c>
      <c r="J55" s="88">
        <f>J43*$L$13^20</f>
        <v>1.025379150108537</v>
      </c>
      <c r="K55" s="88">
        <f>K43*$M$13^20</f>
        <v>0.91840382609422477</v>
      </c>
      <c r="L55" s="88">
        <f>L43*$M$13^20</f>
        <v>0.91840382609422477</v>
      </c>
      <c r="M55" s="88">
        <f>M43*$M$13^20</f>
        <v>0</v>
      </c>
      <c r="N55" s="88">
        <f>N43*$M$13^20</f>
        <v>2.2408190226408884</v>
      </c>
      <c r="O55" s="88">
        <f>O43*$M$13^20</f>
        <v>2.1080297472251317</v>
      </c>
      <c r="P55" s="88">
        <f>P43*$G$13^20</f>
        <v>13.100030915498984</v>
      </c>
      <c r="Q55" s="88">
        <f>Q43*$I$13^20</f>
        <v>2.6747795988076093</v>
      </c>
      <c r="R55" s="88">
        <f>R43*$M$13^20</f>
        <v>0.96288823335850304</v>
      </c>
      <c r="S55" s="88">
        <f>S43*$G$13^20</f>
        <v>20.716135251158846</v>
      </c>
    </row>
    <row r="56" spans="1:19" x14ac:dyDescent="0.15">
      <c r="A56" s="122"/>
      <c r="B56" t="s">
        <v>172</v>
      </c>
      <c r="C56" s="88">
        <f>C44*$H$14^20</f>
        <v>7.3528143025462542</v>
      </c>
      <c r="D56" s="136">
        <f>D44*$I$14^20</f>
        <v>7.0802699477326296</v>
      </c>
      <c r="E56" s="136">
        <f>E44*$M$14^20</f>
        <v>15.231417553521156</v>
      </c>
      <c r="F56" s="136">
        <f>F44*$K$14^20</f>
        <v>223.63419551344029</v>
      </c>
      <c r="G56" s="136">
        <f>G44*$J$14^20</f>
        <v>5.5337374439795441</v>
      </c>
      <c r="H56" s="136">
        <f>H44*$J$14^20</f>
        <v>5.5337374439795441</v>
      </c>
      <c r="I56" s="136">
        <f>I44*$M$14^20</f>
        <v>17.702712146015187</v>
      </c>
      <c r="J56" s="136">
        <f>J44*$L$14^20</f>
        <v>2.641227448242788</v>
      </c>
      <c r="K56" s="136">
        <f>K44*$M$14^20</f>
        <v>2.3885977489358545</v>
      </c>
      <c r="L56" s="136">
        <f>L44*$M$14^20</f>
        <v>2.3885977489358545</v>
      </c>
      <c r="M56" s="136">
        <f>M44*$M$14^20</f>
        <v>2.9055647736657719</v>
      </c>
      <c r="N56" s="136">
        <f>N44*$M$14^20</f>
        <v>4.760656129160072</v>
      </c>
      <c r="O56" s="136">
        <f>O44*$M$14^20</f>
        <v>1.7656893624584309</v>
      </c>
      <c r="P56" s="136">
        <f>P44*$G$14^20</f>
        <v>23.75164728879507</v>
      </c>
      <c r="Q56" s="136">
        <f>Q44*$I$14^20</f>
        <v>7.0802699477326296</v>
      </c>
      <c r="R56" s="136">
        <f>R44*$M$14^20</f>
        <v>3.3751487420866786</v>
      </c>
      <c r="S56" s="136">
        <f>S44*$G$14^20</f>
        <v>25.321773516487031</v>
      </c>
    </row>
    <row r="57" spans="1:19" x14ac:dyDescent="0.15">
      <c r="A57" s="122"/>
      <c r="B57" s="1" t="s">
        <v>175</v>
      </c>
      <c r="C57" s="130">
        <f>C45*$H$15^20</f>
        <v>14.950165208876971</v>
      </c>
      <c r="D57" s="136">
        <f>D45*$I$15^20</f>
        <v>8.1362786713600297</v>
      </c>
      <c r="E57" s="136">
        <f>E45*$M$15^20</f>
        <v>15.939598922846443</v>
      </c>
      <c r="F57" s="136">
        <f>F45*$K$15^20</f>
        <v>129.51185392532329</v>
      </c>
      <c r="G57" s="136">
        <f>G45*$J$15^20</f>
        <v>8.0751363634127458</v>
      </c>
      <c r="H57" s="136">
        <f>H45*$J$15^20</f>
        <v>8.0751363634127458</v>
      </c>
      <c r="I57" s="136">
        <f>I45*$M$15^20</f>
        <v>8.6023232282028417</v>
      </c>
      <c r="J57" s="136">
        <f>J45*$L$15^20</f>
        <v>1.5334791205609588</v>
      </c>
      <c r="K57" s="136">
        <f>K45*$M$15^20</f>
        <v>0</v>
      </c>
      <c r="L57" s="136">
        <f>L45*$M$15^20</f>
        <v>0</v>
      </c>
      <c r="M57" s="136">
        <f>M45*$M$15^20</f>
        <v>4.845840480150688</v>
      </c>
      <c r="N57" s="136">
        <f>N45*$M$15^20</f>
        <v>2.3681689828228998</v>
      </c>
      <c r="O57" s="136">
        <f>O45*$M$15^20</f>
        <v>3.4206885307441888</v>
      </c>
      <c r="P57" s="136">
        <f>P45*$G$15^20</f>
        <v>12.233100569959747</v>
      </c>
      <c r="Q57" s="136">
        <f>Q45*$I$15^20</f>
        <v>8.1362786713600297</v>
      </c>
      <c r="R57" s="136">
        <f>R45*$M$15^20</f>
        <v>2.6966765263375638</v>
      </c>
      <c r="S57" s="136">
        <f>S45*$G$15^20</f>
        <v>36.961918755985963</v>
      </c>
    </row>
    <row r="58" spans="1:19" x14ac:dyDescent="0.15">
      <c r="A58" s="122"/>
      <c r="B58" s="16" t="s">
        <v>174</v>
      </c>
      <c r="C58" s="116">
        <f>C46*$H$16^20</f>
        <v>11.271900089610707</v>
      </c>
      <c r="D58" s="116">
        <f>D46*$I$16^20</f>
        <v>3.1272812340213929</v>
      </c>
      <c r="E58" s="116">
        <f>E46*$M$16^20</f>
        <v>14.673335558617316</v>
      </c>
      <c r="F58" s="116">
        <f>F46*$K$16^20</f>
        <v>180.38581918352892</v>
      </c>
      <c r="G58" s="116">
        <f>G46*$J$16^20</f>
        <v>4.7999394195556588</v>
      </c>
      <c r="H58" s="116">
        <f>H46*$J$16^20</f>
        <v>4.7999394195556588</v>
      </c>
      <c r="I58" s="116">
        <f>I46*$M$16^20</f>
        <v>13.967181284858858</v>
      </c>
      <c r="J58" s="116">
        <f>J46*$L$16^20</f>
        <v>1.5273321485339164</v>
      </c>
      <c r="K58" s="116">
        <f>K46*$M$16^20</f>
        <v>1.6870259965865853</v>
      </c>
      <c r="L58" s="116">
        <f>L46*$M$16^20</f>
        <v>1.6870259965865853</v>
      </c>
      <c r="M58" s="116">
        <f>M46*$M$16^20</f>
        <v>4.6465562602288166</v>
      </c>
      <c r="N58" s="116">
        <f>N46*$M$16^20</f>
        <v>4.0555469113400635</v>
      </c>
      <c r="O58" s="116">
        <f>O46*$M$16^20</f>
        <v>3.0569449080452742</v>
      </c>
      <c r="P58" s="116">
        <f>P46*$G$16^20</f>
        <v>8.8638941192320591</v>
      </c>
      <c r="Q58" s="116">
        <f>Q46*$I$16^20</f>
        <v>3.1272812340213929</v>
      </c>
      <c r="R58" s="116">
        <f>R46*$M$16^20</f>
        <v>1.6778551618624498</v>
      </c>
      <c r="S58" s="116">
        <f>S46*$G$16^20</f>
        <v>32.355303099499004</v>
      </c>
    </row>
  </sheetData>
  <hyperlinks>
    <hyperlink ref="A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zoomScaleNormal="100" workbookViewId="0">
      <selection activeCell="G28" sqref="G28"/>
    </sheetView>
  </sheetViews>
  <sheetFormatPr defaultRowHeight="11.25" x14ac:dyDescent="0.15"/>
  <cols>
    <col min="1" max="1" width="12.5" customWidth="1"/>
    <col min="2" max="2" width="13.5" customWidth="1"/>
    <col min="3" max="3" width="9.125" customWidth="1"/>
    <col min="12" max="12" width="10.5" customWidth="1"/>
  </cols>
  <sheetData>
    <row r="1" spans="1:21" ht="19.5" x14ac:dyDescent="0.25">
      <c r="A1" s="6" t="s">
        <v>206</v>
      </c>
      <c r="H1" s="46"/>
      <c r="I1" s="48"/>
    </row>
    <row r="2" spans="1:21" x14ac:dyDescent="0.15">
      <c r="A2" s="5" t="s">
        <v>400</v>
      </c>
      <c r="F2" s="38"/>
      <c r="H2" s="1"/>
    </row>
    <row r="3" spans="1:21" x14ac:dyDescent="0.15">
      <c r="B3" s="5"/>
      <c r="H3" s="1"/>
    </row>
    <row r="4" spans="1:21" x14ac:dyDescent="0.15">
      <c r="A4" s="42" t="s">
        <v>139</v>
      </c>
      <c r="B4" s="43"/>
      <c r="C4" s="43"/>
      <c r="D4" s="43"/>
      <c r="E4" s="42" t="s">
        <v>140</v>
      </c>
      <c r="F4" s="11"/>
      <c r="G4" s="11"/>
      <c r="H4" s="11"/>
      <c r="I4" s="11" t="s">
        <v>321</v>
      </c>
      <c r="J4" s="11"/>
      <c r="K4" s="11"/>
      <c r="L4" s="11"/>
      <c r="M4" s="11" t="s">
        <v>353</v>
      </c>
      <c r="N4" s="11" t="s">
        <v>354</v>
      </c>
      <c r="O4" s="18" t="s">
        <v>357</v>
      </c>
      <c r="T4" s="114"/>
      <c r="U4" s="138"/>
    </row>
    <row r="5" spans="1:21" x14ac:dyDescent="0.15">
      <c r="A5" s="182" t="s">
        <v>388</v>
      </c>
      <c r="B5" s="49"/>
      <c r="C5" s="46"/>
      <c r="D5" s="46"/>
      <c r="E5" s="129" t="s">
        <v>349</v>
      </c>
      <c r="F5" s="46" t="s">
        <v>344</v>
      </c>
      <c r="G5" s="46" t="s">
        <v>347</v>
      </c>
      <c r="H5" s="46" t="s">
        <v>350</v>
      </c>
      <c r="I5" s="46" t="s">
        <v>346</v>
      </c>
      <c r="J5" s="46" t="s">
        <v>348</v>
      </c>
      <c r="K5" s="175" t="s">
        <v>351</v>
      </c>
      <c r="L5" s="175"/>
      <c r="M5" s="46" t="s">
        <v>352</v>
      </c>
      <c r="N5" s="46" t="s">
        <v>352</v>
      </c>
      <c r="O5" s="47" t="s">
        <v>352</v>
      </c>
      <c r="T5" s="114"/>
      <c r="U5" s="138"/>
    </row>
    <row r="6" spans="1:21" x14ac:dyDescent="0.15">
      <c r="A6" s="181" t="s">
        <v>416</v>
      </c>
      <c r="B6" s="51"/>
      <c r="C6" s="46"/>
      <c r="D6" s="46"/>
      <c r="E6" s="173" t="s">
        <v>333</v>
      </c>
      <c r="F6" s="70">
        <v>564.59792418263805</v>
      </c>
      <c r="G6" s="70">
        <v>133.34152149634815</v>
      </c>
      <c r="H6" s="70">
        <v>240.37771898859569</v>
      </c>
      <c r="I6" s="70">
        <v>183.33994204077962</v>
      </c>
      <c r="J6" s="70">
        <v>148.01023752944528</v>
      </c>
      <c r="K6" s="70">
        <v>168.11880872925761</v>
      </c>
      <c r="L6" s="70"/>
      <c r="M6" s="70">
        <f>AVERAGE(H6,K6)</f>
        <v>204.24826385892663</v>
      </c>
      <c r="N6" s="70">
        <f>AVERAGE(G6,J6)</f>
        <v>140.6758795128967</v>
      </c>
      <c r="O6" s="83">
        <f>AVERAGE(F6,I6)</f>
        <v>373.96893311170885</v>
      </c>
      <c r="S6" s="138"/>
      <c r="T6" s="114"/>
      <c r="U6" s="138"/>
    </row>
    <row r="7" spans="1:21" x14ac:dyDescent="0.15">
      <c r="A7" t="s">
        <v>389</v>
      </c>
      <c r="B7" s="52"/>
      <c r="C7" s="46"/>
      <c r="D7" s="46"/>
      <c r="E7" s="173" t="s">
        <v>334</v>
      </c>
      <c r="F7" s="70">
        <v>363.94862131577219</v>
      </c>
      <c r="G7" s="70">
        <v>73.931392268870169</v>
      </c>
      <c r="H7" s="70">
        <v>116.42592482928085</v>
      </c>
      <c r="I7" s="70">
        <v>196.00180589372985</v>
      </c>
      <c r="J7" s="70">
        <v>35.865572210550873</v>
      </c>
      <c r="K7" s="70">
        <v>95.315807707267638</v>
      </c>
      <c r="L7" s="70"/>
      <c r="M7" s="70">
        <f t="shared" ref="M7:M17" si="0">AVERAGE(H7,K7)</f>
        <v>105.87086626827424</v>
      </c>
      <c r="N7" s="70">
        <f t="shared" ref="N7:N17" si="1">AVERAGE(G7,J7)</f>
        <v>54.898482239710518</v>
      </c>
      <c r="O7" s="83">
        <f t="shared" ref="O7:O17" si="2">AVERAGE(F7,I7)</f>
        <v>279.97521360475105</v>
      </c>
      <c r="S7" s="138"/>
      <c r="T7" s="114"/>
      <c r="U7" s="138"/>
    </row>
    <row r="8" spans="1:21" x14ac:dyDescent="0.15">
      <c r="A8" s="50" t="s">
        <v>390</v>
      </c>
      <c r="B8" s="46"/>
      <c r="C8" s="46"/>
      <c r="D8" s="46"/>
      <c r="E8" s="173" t="s">
        <v>335</v>
      </c>
      <c r="F8" s="70">
        <v>198.93573880672201</v>
      </c>
      <c r="G8" s="70">
        <v>64.610138089458118</v>
      </c>
      <c r="H8" s="70">
        <v>110.2120944676461</v>
      </c>
      <c r="I8" s="70">
        <v>244.11550197960062</v>
      </c>
      <c r="J8" s="70">
        <v>140.71654404530702</v>
      </c>
      <c r="K8" s="70">
        <v>198.4659522932925</v>
      </c>
      <c r="L8" s="70"/>
      <c r="M8" s="70">
        <f t="shared" si="0"/>
        <v>154.33902338046931</v>
      </c>
      <c r="N8" s="70">
        <f t="shared" si="1"/>
        <v>102.66334106738256</v>
      </c>
      <c r="O8" s="83">
        <f t="shared" si="2"/>
        <v>221.52562039316132</v>
      </c>
      <c r="S8" s="138"/>
      <c r="T8" s="114"/>
      <c r="U8" s="138"/>
    </row>
    <row r="9" spans="1:21" x14ac:dyDescent="0.15">
      <c r="A9" s="182"/>
      <c r="B9" s="46"/>
      <c r="C9" s="46"/>
      <c r="D9" s="46"/>
      <c r="E9" s="173" t="s">
        <v>345</v>
      </c>
      <c r="F9" s="1"/>
      <c r="G9" s="1"/>
      <c r="H9" s="1"/>
      <c r="I9" s="70">
        <v>117.57224957854564</v>
      </c>
      <c r="J9" s="70">
        <v>47.493255214444041</v>
      </c>
      <c r="K9" s="70">
        <v>73.509932530344699</v>
      </c>
      <c r="L9" s="70"/>
      <c r="M9" s="70">
        <f t="shared" si="0"/>
        <v>73.509932530344699</v>
      </c>
      <c r="N9" s="70">
        <f t="shared" si="1"/>
        <v>47.493255214444041</v>
      </c>
      <c r="O9" s="83">
        <f t="shared" si="2"/>
        <v>117.57224957854564</v>
      </c>
      <c r="S9" s="138"/>
      <c r="T9" s="114"/>
      <c r="U9" s="138"/>
    </row>
    <row r="10" spans="1:21" x14ac:dyDescent="0.15">
      <c r="A10" s="181" t="s">
        <v>199</v>
      </c>
      <c r="B10" s="46"/>
      <c r="C10" s="46"/>
      <c r="D10" s="46"/>
      <c r="E10" s="173" t="s">
        <v>336</v>
      </c>
      <c r="F10" s="70">
        <v>88.027549347471009</v>
      </c>
      <c r="G10" s="70">
        <v>30.607373979661158</v>
      </c>
      <c r="H10" s="70">
        <v>44.325751998661126</v>
      </c>
      <c r="I10" s="70">
        <v>69.159272016024332</v>
      </c>
      <c r="J10" s="70">
        <v>37.850425541592678</v>
      </c>
      <c r="K10" s="70">
        <v>55.548213551400082</v>
      </c>
      <c r="L10" s="70"/>
      <c r="M10" s="70">
        <f t="shared" si="0"/>
        <v>49.9369827750306</v>
      </c>
      <c r="N10" s="70">
        <f t="shared" si="1"/>
        <v>34.228899760626916</v>
      </c>
      <c r="O10" s="83">
        <f t="shared" si="2"/>
        <v>78.59341068174767</v>
      </c>
      <c r="S10" s="138"/>
      <c r="T10" s="114"/>
      <c r="U10" s="138"/>
    </row>
    <row r="11" spans="1:21" x14ac:dyDescent="0.15">
      <c r="A11" s="50" t="s">
        <v>423</v>
      </c>
      <c r="B11" s="46"/>
      <c r="C11" s="46"/>
      <c r="D11" s="46"/>
      <c r="E11" s="173" t="s">
        <v>337</v>
      </c>
      <c r="F11" s="70">
        <v>340.92759781519771</v>
      </c>
      <c r="G11" s="70">
        <v>83.831211167213567</v>
      </c>
      <c r="H11" s="70">
        <v>155.7445120471898</v>
      </c>
      <c r="I11" s="70">
        <v>111.34961268717441</v>
      </c>
      <c r="J11" s="70">
        <v>60.637185339814614</v>
      </c>
      <c r="K11" s="70">
        <v>89.677125377199417</v>
      </c>
      <c r="L11" s="70"/>
      <c r="M11" s="70">
        <f t="shared" si="0"/>
        <v>122.71081871219461</v>
      </c>
      <c r="N11" s="70">
        <f t="shared" si="1"/>
        <v>72.234198253514094</v>
      </c>
      <c r="O11" s="83">
        <f t="shared" si="2"/>
        <v>226.13860525118605</v>
      </c>
      <c r="S11" s="138"/>
      <c r="T11" s="114"/>
      <c r="U11" s="138"/>
    </row>
    <row r="12" spans="1:21" x14ac:dyDescent="0.15">
      <c r="A12" s="13" t="s">
        <v>424</v>
      </c>
      <c r="E12" s="173" t="s">
        <v>338</v>
      </c>
      <c r="F12" s="70">
        <v>356.74250196507336</v>
      </c>
      <c r="G12" s="70">
        <v>97.529755227395597</v>
      </c>
      <c r="H12" s="70">
        <v>159.33208580419031</v>
      </c>
      <c r="I12" s="70">
        <v>117.71613658232982</v>
      </c>
      <c r="J12" s="70">
        <v>56.112753933379381</v>
      </c>
      <c r="K12" s="70">
        <v>87.393425868752146</v>
      </c>
      <c r="L12" s="70"/>
      <c r="M12" s="70">
        <f t="shared" si="0"/>
        <v>123.36275583647122</v>
      </c>
      <c r="N12" s="70">
        <f t="shared" si="1"/>
        <v>76.821254580387489</v>
      </c>
      <c r="O12" s="83">
        <f t="shared" si="2"/>
        <v>237.22931927370161</v>
      </c>
      <c r="S12" s="138"/>
      <c r="T12" s="114"/>
      <c r="U12" s="138"/>
    </row>
    <row r="13" spans="1:21" x14ac:dyDescent="0.15">
      <c r="A13" s="182"/>
      <c r="E13" s="173" t="s">
        <v>339</v>
      </c>
      <c r="F13" s="70">
        <v>324.13968690255865</v>
      </c>
      <c r="G13" s="70">
        <v>124.22279841397025</v>
      </c>
      <c r="H13" s="70">
        <v>171.88762117347557</v>
      </c>
      <c r="I13" s="70">
        <v>447.15920795441855</v>
      </c>
      <c r="J13" s="70">
        <v>213.52979680981659</v>
      </c>
      <c r="K13" s="70">
        <v>340.09539628676112</v>
      </c>
      <c r="L13" s="70"/>
      <c r="M13" s="70">
        <f t="shared" si="0"/>
        <v>255.99150873011834</v>
      </c>
      <c r="N13" s="70">
        <f t="shared" si="1"/>
        <v>168.87629761189342</v>
      </c>
      <c r="O13" s="83">
        <f t="shared" si="2"/>
        <v>385.6494474284886</v>
      </c>
      <c r="S13" s="138"/>
      <c r="T13" s="114"/>
      <c r="U13" s="138"/>
    </row>
    <row r="14" spans="1:21" x14ac:dyDescent="0.15">
      <c r="A14" s="13"/>
      <c r="D14" s="38"/>
      <c r="E14" s="174" t="s">
        <v>340</v>
      </c>
      <c r="F14" s="172">
        <v>6174.4320054898462</v>
      </c>
      <c r="G14" s="70">
        <v>1460.4593438566274</v>
      </c>
      <c r="H14" s="70">
        <v>3051.131110109477</v>
      </c>
      <c r="I14" s="32">
        <v>427</v>
      </c>
      <c r="J14" s="70">
        <v>119</v>
      </c>
      <c r="K14" s="70">
        <v>292.46254093877207</v>
      </c>
      <c r="L14" s="70"/>
      <c r="M14" s="70">
        <f>AVERAGE(K14)</f>
        <v>292.46254093877207</v>
      </c>
      <c r="N14" s="70">
        <f>AVERAGE(J14)</f>
        <v>119</v>
      </c>
      <c r="O14" s="83">
        <f>AVERAGE(I14)</f>
        <v>427</v>
      </c>
      <c r="S14" s="138"/>
      <c r="T14" s="114"/>
      <c r="U14" s="138"/>
    </row>
    <row r="15" spans="1:21" x14ac:dyDescent="0.15">
      <c r="A15" s="50"/>
      <c r="B15" s="46"/>
      <c r="C15" s="46"/>
      <c r="D15" s="46"/>
      <c r="E15" s="173" t="s">
        <v>341</v>
      </c>
      <c r="F15" s="70">
        <v>2497.0680539835889</v>
      </c>
      <c r="G15" s="70">
        <v>1412.4306628606735</v>
      </c>
      <c r="H15" s="70">
        <v>1757.4190312716178</v>
      </c>
      <c r="I15" s="70">
        <v>538.03792875188878</v>
      </c>
      <c r="J15" s="70">
        <v>413.35373275633543</v>
      </c>
      <c r="K15" s="70">
        <v>507.27197678768709</v>
      </c>
      <c r="L15" s="70"/>
      <c r="M15" s="70">
        <f t="shared" si="0"/>
        <v>1132.3455040296524</v>
      </c>
      <c r="N15" s="70">
        <f t="shared" si="1"/>
        <v>912.89219780850442</v>
      </c>
      <c r="O15" s="83">
        <f>AVERAGE(F15,I15)</f>
        <v>1517.5529913677387</v>
      </c>
      <c r="S15" s="138"/>
      <c r="T15" s="114"/>
      <c r="U15" s="138"/>
    </row>
    <row r="16" spans="1:21" x14ac:dyDescent="0.15">
      <c r="A16" s="50"/>
      <c r="B16" s="46"/>
      <c r="C16" s="46"/>
      <c r="D16" s="46"/>
      <c r="E16" s="173" t="s">
        <v>342</v>
      </c>
      <c r="F16" s="70">
        <v>2386.6049313525245</v>
      </c>
      <c r="G16" s="70">
        <v>965.26330254261154</v>
      </c>
      <c r="H16" s="70">
        <v>1417.3464904272132</v>
      </c>
      <c r="I16" s="70">
        <v>1446.9603841615133</v>
      </c>
      <c r="J16" s="70">
        <v>1267.1471329987287</v>
      </c>
      <c r="K16" s="70">
        <v>1338.9598873055111</v>
      </c>
      <c r="L16" s="70"/>
      <c r="M16" s="70">
        <f t="shared" si="0"/>
        <v>1378.1531888663621</v>
      </c>
      <c r="N16" s="70">
        <f t="shared" si="1"/>
        <v>1116.2052177706701</v>
      </c>
      <c r="O16" s="83">
        <f t="shared" si="2"/>
        <v>1916.782657757019</v>
      </c>
      <c r="S16" s="138"/>
    </row>
    <row r="17" spans="1:23" x14ac:dyDescent="0.15">
      <c r="A17" s="50"/>
      <c r="B17" s="46"/>
      <c r="C17" s="46"/>
      <c r="D17" s="46"/>
      <c r="E17" s="173" t="s">
        <v>343</v>
      </c>
      <c r="F17" s="70">
        <v>455.260569800486</v>
      </c>
      <c r="G17" s="70">
        <v>191.79703614183452</v>
      </c>
      <c r="H17" s="70">
        <v>280.69954672254431</v>
      </c>
      <c r="I17" s="70">
        <v>796</v>
      </c>
      <c r="J17" s="70">
        <v>218</v>
      </c>
      <c r="K17" s="70">
        <v>517.46918906645146</v>
      </c>
      <c r="L17" s="70"/>
      <c r="M17" s="70">
        <f t="shared" si="0"/>
        <v>399.08436789449786</v>
      </c>
      <c r="N17" s="70">
        <f t="shared" si="1"/>
        <v>204.89851807091725</v>
      </c>
      <c r="O17" s="83">
        <f t="shared" si="2"/>
        <v>625.63028490024294</v>
      </c>
      <c r="S17" s="138"/>
    </row>
    <row r="18" spans="1:23" x14ac:dyDescent="0.15">
      <c r="A18" s="55"/>
      <c r="B18" s="53"/>
      <c r="C18" s="53"/>
      <c r="D18" s="53"/>
      <c r="E18" s="55"/>
      <c r="F18" s="53"/>
      <c r="G18" s="53"/>
      <c r="H18" s="16"/>
      <c r="I18" s="16"/>
      <c r="J18" s="16"/>
      <c r="K18" s="16"/>
      <c r="L18" s="16"/>
      <c r="M18" s="16"/>
      <c r="N18" s="16"/>
      <c r="O18" s="17"/>
    </row>
    <row r="19" spans="1:23" x14ac:dyDescent="0.15">
      <c r="B19" s="5"/>
      <c r="D19" s="3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</row>
    <row r="20" spans="1:23" x14ac:dyDescent="0.15">
      <c r="A20" s="2" t="s">
        <v>381</v>
      </c>
      <c r="B20" s="22" t="s">
        <v>118</v>
      </c>
      <c r="C20" s="84" t="s">
        <v>43</v>
      </c>
      <c r="D20" s="84"/>
      <c r="E20" s="84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</row>
    <row r="21" spans="1:23" x14ac:dyDescent="0.15">
      <c r="A21" s="3" t="s">
        <v>0</v>
      </c>
      <c r="B21" s="3" t="s">
        <v>321</v>
      </c>
      <c r="C21" s="86" t="s">
        <v>27</v>
      </c>
      <c r="D21" s="85"/>
      <c r="E21" s="85"/>
      <c r="F21" s="85"/>
      <c r="G21" s="85"/>
      <c r="H21" s="85"/>
      <c r="I21" s="37"/>
      <c r="J21" s="37"/>
      <c r="K21" s="37"/>
      <c r="L21" s="37"/>
      <c r="M21" s="37"/>
    </row>
    <row r="22" spans="1:23" ht="12" thickBot="1" x14ac:dyDescent="0.2">
      <c r="A22" s="178" t="s">
        <v>355</v>
      </c>
      <c r="B22" s="60" t="s">
        <v>59</v>
      </c>
      <c r="C22" s="64" t="s">
        <v>100</v>
      </c>
      <c r="D22" s="64" t="s">
        <v>99</v>
      </c>
      <c r="E22" s="64" t="s">
        <v>101</v>
      </c>
      <c r="F22" s="64" t="s">
        <v>102</v>
      </c>
      <c r="G22" s="64" t="s">
        <v>104</v>
      </c>
      <c r="H22" s="64" t="s">
        <v>105</v>
      </c>
      <c r="I22" s="65" t="s">
        <v>153</v>
      </c>
      <c r="J22" s="65" t="s">
        <v>154</v>
      </c>
      <c r="K22" s="65" t="s">
        <v>359</v>
      </c>
      <c r="L22" s="65" t="s">
        <v>360</v>
      </c>
      <c r="M22" s="65" t="s">
        <v>103</v>
      </c>
      <c r="N22" s="65" t="s">
        <v>156</v>
      </c>
      <c r="O22" s="65" t="s">
        <v>229</v>
      </c>
      <c r="P22" s="65" t="s">
        <v>157</v>
      </c>
      <c r="Q22" s="65" t="s">
        <v>181</v>
      </c>
      <c r="R22" s="65" t="s">
        <v>182</v>
      </c>
      <c r="S22" s="65" t="s">
        <v>184</v>
      </c>
    </row>
    <row r="23" spans="1:23" x14ac:dyDescent="0.15">
      <c r="A23" s="147" t="s">
        <v>142</v>
      </c>
      <c r="B23" t="s">
        <v>166</v>
      </c>
      <c r="C23" s="176">
        <f t="shared" ref="C23:C34" si="3">$M$9</f>
        <v>73.509932530344699</v>
      </c>
      <c r="D23" s="176">
        <f t="shared" ref="D23:D34" si="4">$M$6</f>
        <v>204.24826385892663</v>
      </c>
      <c r="E23" s="176">
        <f t="shared" ref="E23:E34" si="5">$M$14</f>
        <v>292.46254093877207</v>
      </c>
      <c r="F23" s="176">
        <f t="shared" ref="F23:F34" si="6">$M$15</f>
        <v>1132.3455040296524</v>
      </c>
      <c r="G23" s="176">
        <f t="shared" ref="G23:H34" si="7">$M$8</f>
        <v>154.33902338046931</v>
      </c>
      <c r="H23" s="176">
        <f t="shared" si="7"/>
        <v>154.33902338046931</v>
      </c>
      <c r="I23" s="176">
        <f t="shared" ref="I23:I34" si="8">$M$17</f>
        <v>399.08436789449786</v>
      </c>
      <c r="J23" s="176">
        <f t="shared" ref="J23:J34" si="9">$M$7</f>
        <v>105.87086626827424</v>
      </c>
      <c r="K23" s="176">
        <f t="shared" ref="K23:L34" si="10">$M$10</f>
        <v>49.9369827750306</v>
      </c>
      <c r="L23" s="176">
        <f t="shared" si="10"/>
        <v>49.9369827750306</v>
      </c>
      <c r="M23" s="176">
        <f t="shared" ref="M23:M34" si="11">$M$11</f>
        <v>122.71081871219461</v>
      </c>
      <c r="N23" s="176">
        <f t="shared" ref="N23:O34" si="12">$M$16</f>
        <v>1378.1531888663621</v>
      </c>
      <c r="O23" s="176">
        <f t="shared" si="12"/>
        <v>1378.1531888663621</v>
      </c>
      <c r="P23" s="176">
        <f t="shared" ref="P23:P34" si="13">$M$12</f>
        <v>123.36275583647122</v>
      </c>
      <c r="Q23" s="176">
        <f t="shared" ref="Q23:Q34" si="14">$M$6</f>
        <v>204.24826385892663</v>
      </c>
      <c r="R23" s="176">
        <f t="shared" ref="R23:R34" si="15">$M$11</f>
        <v>122.71081871219461</v>
      </c>
      <c r="S23" s="176">
        <f t="shared" ref="S23:S34" si="16">$M$13</f>
        <v>255.99150873011834</v>
      </c>
    </row>
    <row r="24" spans="1:23" x14ac:dyDescent="0.15">
      <c r="A24" s="147"/>
      <c r="B24" t="s">
        <v>167</v>
      </c>
      <c r="C24" s="176">
        <f t="shared" si="3"/>
        <v>73.509932530344699</v>
      </c>
      <c r="D24" s="176">
        <f t="shared" si="4"/>
        <v>204.24826385892663</v>
      </c>
      <c r="E24" s="176">
        <f t="shared" si="5"/>
        <v>292.46254093877207</v>
      </c>
      <c r="F24" s="176">
        <f t="shared" si="6"/>
        <v>1132.3455040296524</v>
      </c>
      <c r="G24" s="176">
        <f t="shared" si="7"/>
        <v>154.33902338046931</v>
      </c>
      <c r="H24" s="176">
        <f t="shared" si="7"/>
        <v>154.33902338046931</v>
      </c>
      <c r="I24" s="176">
        <f t="shared" si="8"/>
        <v>399.08436789449786</v>
      </c>
      <c r="J24" s="176">
        <f t="shared" si="9"/>
        <v>105.87086626827424</v>
      </c>
      <c r="K24" s="176">
        <f t="shared" si="10"/>
        <v>49.9369827750306</v>
      </c>
      <c r="L24" s="176">
        <f t="shared" si="10"/>
        <v>49.9369827750306</v>
      </c>
      <c r="M24" s="176">
        <f t="shared" si="11"/>
        <v>122.71081871219461</v>
      </c>
      <c r="N24" s="176">
        <f t="shared" si="12"/>
        <v>1378.1531888663621</v>
      </c>
      <c r="O24" s="176">
        <f t="shared" si="12"/>
        <v>1378.1531888663621</v>
      </c>
      <c r="P24" s="176">
        <f t="shared" si="13"/>
        <v>123.36275583647122</v>
      </c>
      <c r="Q24" s="176">
        <f t="shared" si="14"/>
        <v>204.24826385892663</v>
      </c>
      <c r="R24" s="176">
        <f t="shared" si="15"/>
        <v>122.71081871219461</v>
      </c>
      <c r="S24" s="176">
        <f t="shared" si="16"/>
        <v>255.99150873011834</v>
      </c>
    </row>
    <row r="25" spans="1:23" x14ac:dyDescent="0.15">
      <c r="A25" s="147"/>
      <c r="B25" t="s">
        <v>168</v>
      </c>
      <c r="C25" s="176">
        <f t="shared" si="3"/>
        <v>73.509932530344699</v>
      </c>
      <c r="D25" s="176">
        <f t="shared" si="4"/>
        <v>204.24826385892663</v>
      </c>
      <c r="E25" s="176">
        <f t="shared" si="5"/>
        <v>292.46254093877207</v>
      </c>
      <c r="F25" s="176">
        <f t="shared" si="6"/>
        <v>1132.3455040296524</v>
      </c>
      <c r="G25" s="176">
        <f t="shared" si="7"/>
        <v>154.33902338046931</v>
      </c>
      <c r="H25" s="176">
        <f t="shared" si="7"/>
        <v>154.33902338046931</v>
      </c>
      <c r="I25" s="176">
        <f t="shared" si="8"/>
        <v>399.08436789449786</v>
      </c>
      <c r="J25" s="176">
        <f t="shared" si="9"/>
        <v>105.87086626827424</v>
      </c>
      <c r="K25" s="176">
        <f t="shared" si="10"/>
        <v>49.9369827750306</v>
      </c>
      <c r="L25" s="176">
        <f t="shared" si="10"/>
        <v>49.9369827750306</v>
      </c>
      <c r="M25" s="176">
        <f t="shared" si="11"/>
        <v>122.71081871219461</v>
      </c>
      <c r="N25" s="176">
        <f t="shared" si="12"/>
        <v>1378.1531888663621</v>
      </c>
      <c r="O25" s="176">
        <f t="shared" si="12"/>
        <v>1378.1531888663621</v>
      </c>
      <c r="P25" s="176">
        <f t="shared" si="13"/>
        <v>123.36275583647122</v>
      </c>
      <c r="Q25" s="176">
        <f t="shared" si="14"/>
        <v>204.24826385892663</v>
      </c>
      <c r="R25" s="176">
        <f t="shared" si="15"/>
        <v>122.71081871219461</v>
      </c>
      <c r="S25" s="176">
        <f t="shared" si="16"/>
        <v>255.99150873011834</v>
      </c>
    </row>
    <row r="26" spans="1:23" x14ac:dyDescent="0.15">
      <c r="A26" s="147"/>
      <c r="B26" t="s">
        <v>169</v>
      </c>
      <c r="C26" s="176">
        <f t="shared" si="3"/>
        <v>73.509932530344699</v>
      </c>
      <c r="D26" s="176">
        <f t="shared" si="4"/>
        <v>204.24826385892663</v>
      </c>
      <c r="E26" s="176">
        <f t="shared" si="5"/>
        <v>292.46254093877207</v>
      </c>
      <c r="F26" s="176">
        <f t="shared" si="6"/>
        <v>1132.3455040296524</v>
      </c>
      <c r="G26" s="176">
        <f t="shared" si="7"/>
        <v>154.33902338046931</v>
      </c>
      <c r="H26" s="176">
        <f t="shared" si="7"/>
        <v>154.33902338046931</v>
      </c>
      <c r="I26" s="176">
        <f t="shared" si="8"/>
        <v>399.08436789449786</v>
      </c>
      <c r="J26" s="176">
        <f t="shared" si="9"/>
        <v>105.87086626827424</v>
      </c>
      <c r="K26" s="176">
        <f t="shared" si="10"/>
        <v>49.9369827750306</v>
      </c>
      <c r="L26" s="176">
        <f t="shared" si="10"/>
        <v>49.9369827750306</v>
      </c>
      <c r="M26" s="176">
        <f t="shared" si="11"/>
        <v>122.71081871219461</v>
      </c>
      <c r="N26" s="176">
        <f t="shared" si="12"/>
        <v>1378.1531888663621</v>
      </c>
      <c r="O26" s="176">
        <f t="shared" si="12"/>
        <v>1378.1531888663621</v>
      </c>
      <c r="P26" s="176">
        <f t="shared" si="13"/>
        <v>123.36275583647122</v>
      </c>
      <c r="Q26" s="176">
        <f t="shared" si="14"/>
        <v>204.24826385892663</v>
      </c>
      <c r="R26" s="176">
        <f t="shared" si="15"/>
        <v>122.71081871219461</v>
      </c>
      <c r="S26" s="176">
        <f t="shared" si="16"/>
        <v>255.99150873011834</v>
      </c>
    </row>
    <row r="27" spans="1:23" x14ac:dyDescent="0.15">
      <c r="A27" s="147"/>
      <c r="B27" s="1" t="s">
        <v>170</v>
      </c>
      <c r="C27" s="176">
        <f t="shared" si="3"/>
        <v>73.509932530344699</v>
      </c>
      <c r="D27" s="176">
        <f t="shared" si="4"/>
        <v>204.24826385892663</v>
      </c>
      <c r="E27" s="176">
        <f t="shared" si="5"/>
        <v>292.46254093877207</v>
      </c>
      <c r="F27" s="176">
        <f t="shared" si="6"/>
        <v>1132.3455040296524</v>
      </c>
      <c r="G27" s="176">
        <f t="shared" si="7"/>
        <v>154.33902338046931</v>
      </c>
      <c r="H27" s="176">
        <f t="shared" si="7"/>
        <v>154.33902338046931</v>
      </c>
      <c r="I27" s="176">
        <f t="shared" si="8"/>
        <v>399.08436789449786</v>
      </c>
      <c r="J27" s="176">
        <f t="shared" si="9"/>
        <v>105.87086626827424</v>
      </c>
      <c r="K27" s="176">
        <f t="shared" si="10"/>
        <v>49.9369827750306</v>
      </c>
      <c r="L27" s="176">
        <f t="shared" si="10"/>
        <v>49.9369827750306</v>
      </c>
      <c r="M27" s="176">
        <f t="shared" si="11"/>
        <v>122.71081871219461</v>
      </c>
      <c r="N27" s="176">
        <f t="shared" si="12"/>
        <v>1378.1531888663621</v>
      </c>
      <c r="O27" s="176">
        <f t="shared" si="12"/>
        <v>1378.1531888663621</v>
      </c>
      <c r="P27" s="176">
        <f t="shared" si="13"/>
        <v>123.36275583647122</v>
      </c>
      <c r="Q27" s="176">
        <f t="shared" si="14"/>
        <v>204.24826385892663</v>
      </c>
      <c r="R27" s="176">
        <f t="shared" si="15"/>
        <v>122.71081871219461</v>
      </c>
      <c r="S27" s="176">
        <f t="shared" si="16"/>
        <v>255.99150873011834</v>
      </c>
    </row>
    <row r="28" spans="1:23" x14ac:dyDescent="0.15">
      <c r="A28" s="147"/>
      <c r="B28" s="16" t="s">
        <v>171</v>
      </c>
      <c r="C28" s="177">
        <f t="shared" si="3"/>
        <v>73.509932530344699</v>
      </c>
      <c r="D28" s="177">
        <f t="shared" si="4"/>
        <v>204.24826385892663</v>
      </c>
      <c r="E28" s="177">
        <f t="shared" si="5"/>
        <v>292.46254093877207</v>
      </c>
      <c r="F28" s="177">
        <f t="shared" si="6"/>
        <v>1132.3455040296524</v>
      </c>
      <c r="G28" s="177">
        <f t="shared" si="7"/>
        <v>154.33902338046931</v>
      </c>
      <c r="H28" s="177">
        <f t="shared" si="7"/>
        <v>154.33902338046931</v>
      </c>
      <c r="I28" s="177">
        <f t="shared" si="8"/>
        <v>399.08436789449786</v>
      </c>
      <c r="J28" s="177">
        <f t="shared" si="9"/>
        <v>105.87086626827424</v>
      </c>
      <c r="K28" s="177">
        <f t="shared" si="10"/>
        <v>49.9369827750306</v>
      </c>
      <c r="L28" s="177">
        <f t="shared" si="10"/>
        <v>49.9369827750306</v>
      </c>
      <c r="M28" s="177">
        <f t="shared" si="11"/>
        <v>122.71081871219461</v>
      </c>
      <c r="N28" s="177">
        <f t="shared" si="12"/>
        <v>1378.1531888663621</v>
      </c>
      <c r="O28" s="177">
        <f t="shared" si="12"/>
        <v>1378.1531888663621</v>
      </c>
      <c r="P28" s="177">
        <f t="shared" si="13"/>
        <v>123.36275583647122</v>
      </c>
      <c r="Q28" s="177">
        <f t="shared" si="14"/>
        <v>204.24826385892663</v>
      </c>
      <c r="R28" s="177">
        <f t="shared" si="15"/>
        <v>122.71081871219461</v>
      </c>
      <c r="S28" s="177">
        <f t="shared" si="16"/>
        <v>255.99150873011834</v>
      </c>
    </row>
    <row r="29" spans="1:23" x14ac:dyDescent="0.15">
      <c r="A29" s="147"/>
      <c r="B29" t="s">
        <v>172</v>
      </c>
      <c r="C29" s="176">
        <f t="shared" si="3"/>
        <v>73.509932530344699</v>
      </c>
      <c r="D29" s="176">
        <f t="shared" si="4"/>
        <v>204.24826385892663</v>
      </c>
      <c r="E29" s="176">
        <f t="shared" si="5"/>
        <v>292.46254093877207</v>
      </c>
      <c r="F29" s="176">
        <f t="shared" si="6"/>
        <v>1132.3455040296524</v>
      </c>
      <c r="G29" s="176">
        <f t="shared" si="7"/>
        <v>154.33902338046931</v>
      </c>
      <c r="H29" s="176">
        <f t="shared" si="7"/>
        <v>154.33902338046931</v>
      </c>
      <c r="I29" s="176">
        <f t="shared" si="8"/>
        <v>399.08436789449786</v>
      </c>
      <c r="J29" s="176">
        <f t="shared" si="9"/>
        <v>105.87086626827424</v>
      </c>
      <c r="K29" s="176">
        <f t="shared" si="10"/>
        <v>49.9369827750306</v>
      </c>
      <c r="L29" s="176">
        <f t="shared" si="10"/>
        <v>49.9369827750306</v>
      </c>
      <c r="M29" s="176">
        <f t="shared" si="11"/>
        <v>122.71081871219461</v>
      </c>
      <c r="N29" s="176">
        <f t="shared" si="12"/>
        <v>1378.1531888663621</v>
      </c>
      <c r="O29" s="176">
        <f t="shared" si="12"/>
        <v>1378.1531888663621</v>
      </c>
      <c r="P29" s="176">
        <f t="shared" si="13"/>
        <v>123.36275583647122</v>
      </c>
      <c r="Q29" s="176">
        <f t="shared" si="14"/>
        <v>204.24826385892663</v>
      </c>
      <c r="R29" s="176">
        <f t="shared" si="15"/>
        <v>122.71081871219461</v>
      </c>
      <c r="S29" s="176">
        <f t="shared" si="16"/>
        <v>255.99150873011834</v>
      </c>
    </row>
    <row r="30" spans="1:23" x14ac:dyDescent="0.15">
      <c r="A30" s="147"/>
      <c r="B30" t="s">
        <v>173</v>
      </c>
      <c r="C30" s="176">
        <f t="shared" si="3"/>
        <v>73.509932530344699</v>
      </c>
      <c r="D30" s="176">
        <f t="shared" si="4"/>
        <v>204.24826385892663</v>
      </c>
      <c r="E30" s="176">
        <f t="shared" si="5"/>
        <v>292.46254093877207</v>
      </c>
      <c r="F30" s="176">
        <f t="shared" si="6"/>
        <v>1132.3455040296524</v>
      </c>
      <c r="G30" s="176">
        <f t="shared" si="7"/>
        <v>154.33902338046931</v>
      </c>
      <c r="H30" s="176">
        <f t="shared" si="7"/>
        <v>154.33902338046931</v>
      </c>
      <c r="I30" s="176">
        <f t="shared" si="8"/>
        <v>399.08436789449786</v>
      </c>
      <c r="J30" s="176">
        <f t="shared" si="9"/>
        <v>105.87086626827424</v>
      </c>
      <c r="K30" s="176">
        <f t="shared" si="10"/>
        <v>49.9369827750306</v>
      </c>
      <c r="L30" s="176">
        <f t="shared" si="10"/>
        <v>49.9369827750306</v>
      </c>
      <c r="M30" s="176">
        <f t="shared" si="11"/>
        <v>122.71081871219461</v>
      </c>
      <c r="N30" s="176">
        <f t="shared" si="12"/>
        <v>1378.1531888663621</v>
      </c>
      <c r="O30" s="176">
        <f t="shared" si="12"/>
        <v>1378.1531888663621</v>
      </c>
      <c r="P30" s="176">
        <f t="shared" si="13"/>
        <v>123.36275583647122</v>
      </c>
      <c r="Q30" s="176">
        <f t="shared" si="14"/>
        <v>204.24826385892663</v>
      </c>
      <c r="R30" s="176">
        <f t="shared" si="15"/>
        <v>122.71081871219461</v>
      </c>
      <c r="S30" s="176">
        <f t="shared" si="16"/>
        <v>255.99150873011834</v>
      </c>
    </row>
    <row r="31" spans="1:23" x14ac:dyDescent="0.15">
      <c r="A31" s="147"/>
      <c r="B31" t="s">
        <v>174</v>
      </c>
      <c r="C31" s="176">
        <f t="shared" si="3"/>
        <v>73.509932530344699</v>
      </c>
      <c r="D31" s="176">
        <f t="shared" si="4"/>
        <v>204.24826385892663</v>
      </c>
      <c r="E31" s="176">
        <f t="shared" si="5"/>
        <v>292.46254093877207</v>
      </c>
      <c r="F31" s="176">
        <f t="shared" si="6"/>
        <v>1132.3455040296524</v>
      </c>
      <c r="G31" s="176">
        <f t="shared" si="7"/>
        <v>154.33902338046931</v>
      </c>
      <c r="H31" s="176">
        <f t="shared" si="7"/>
        <v>154.33902338046931</v>
      </c>
      <c r="I31" s="176">
        <f t="shared" si="8"/>
        <v>399.08436789449786</v>
      </c>
      <c r="J31" s="176">
        <f t="shared" si="9"/>
        <v>105.87086626827424</v>
      </c>
      <c r="K31" s="176">
        <f t="shared" si="10"/>
        <v>49.9369827750306</v>
      </c>
      <c r="L31" s="176">
        <f t="shared" si="10"/>
        <v>49.9369827750306</v>
      </c>
      <c r="M31" s="176">
        <f t="shared" si="11"/>
        <v>122.71081871219461</v>
      </c>
      <c r="N31" s="176">
        <f t="shared" si="12"/>
        <v>1378.1531888663621</v>
      </c>
      <c r="O31" s="176">
        <f t="shared" si="12"/>
        <v>1378.1531888663621</v>
      </c>
      <c r="P31" s="176">
        <f t="shared" si="13"/>
        <v>123.36275583647122</v>
      </c>
      <c r="Q31" s="176">
        <f t="shared" si="14"/>
        <v>204.24826385892663</v>
      </c>
      <c r="R31" s="176">
        <f t="shared" si="15"/>
        <v>122.71081871219461</v>
      </c>
      <c r="S31" s="176">
        <f t="shared" si="16"/>
        <v>255.99150873011834</v>
      </c>
    </row>
    <row r="32" spans="1:23" x14ac:dyDescent="0.15">
      <c r="A32" s="147"/>
      <c r="B32" t="s">
        <v>175</v>
      </c>
      <c r="C32" s="176">
        <f t="shared" si="3"/>
        <v>73.509932530344699</v>
      </c>
      <c r="D32" s="176">
        <f t="shared" si="4"/>
        <v>204.24826385892663</v>
      </c>
      <c r="E32" s="176">
        <f t="shared" si="5"/>
        <v>292.46254093877207</v>
      </c>
      <c r="F32" s="176">
        <f t="shared" si="6"/>
        <v>1132.3455040296524</v>
      </c>
      <c r="G32" s="176">
        <f t="shared" si="7"/>
        <v>154.33902338046931</v>
      </c>
      <c r="H32" s="176">
        <f t="shared" si="7"/>
        <v>154.33902338046931</v>
      </c>
      <c r="I32" s="176">
        <f t="shared" si="8"/>
        <v>399.08436789449786</v>
      </c>
      <c r="J32" s="176">
        <f t="shared" si="9"/>
        <v>105.87086626827424</v>
      </c>
      <c r="K32" s="176">
        <f t="shared" si="10"/>
        <v>49.9369827750306</v>
      </c>
      <c r="L32" s="176">
        <f t="shared" si="10"/>
        <v>49.9369827750306</v>
      </c>
      <c r="M32" s="176">
        <f t="shared" si="11"/>
        <v>122.71081871219461</v>
      </c>
      <c r="N32" s="176">
        <f t="shared" si="12"/>
        <v>1378.1531888663621</v>
      </c>
      <c r="O32" s="176">
        <f t="shared" si="12"/>
        <v>1378.1531888663621</v>
      </c>
      <c r="P32" s="176">
        <f t="shared" si="13"/>
        <v>123.36275583647122</v>
      </c>
      <c r="Q32" s="176">
        <f t="shared" si="14"/>
        <v>204.24826385892663</v>
      </c>
      <c r="R32" s="176">
        <f t="shared" si="15"/>
        <v>122.71081871219461</v>
      </c>
      <c r="S32" s="176">
        <f t="shared" si="16"/>
        <v>255.99150873011834</v>
      </c>
    </row>
    <row r="33" spans="1:26" x14ac:dyDescent="0.15">
      <c r="A33" s="147"/>
      <c r="B33" t="s">
        <v>176</v>
      </c>
      <c r="C33" s="176">
        <f t="shared" si="3"/>
        <v>73.509932530344699</v>
      </c>
      <c r="D33" s="176">
        <f t="shared" si="4"/>
        <v>204.24826385892663</v>
      </c>
      <c r="E33" s="176">
        <f t="shared" si="5"/>
        <v>292.46254093877207</v>
      </c>
      <c r="F33" s="176">
        <f t="shared" si="6"/>
        <v>1132.3455040296524</v>
      </c>
      <c r="G33" s="176">
        <f t="shared" si="7"/>
        <v>154.33902338046931</v>
      </c>
      <c r="H33" s="176">
        <f t="shared" si="7"/>
        <v>154.33902338046931</v>
      </c>
      <c r="I33" s="176">
        <f t="shared" si="8"/>
        <v>399.08436789449786</v>
      </c>
      <c r="J33" s="176">
        <f t="shared" si="9"/>
        <v>105.87086626827424</v>
      </c>
      <c r="K33" s="176">
        <f t="shared" si="10"/>
        <v>49.9369827750306</v>
      </c>
      <c r="L33" s="176">
        <f t="shared" si="10"/>
        <v>49.9369827750306</v>
      </c>
      <c r="M33" s="176">
        <f t="shared" si="11"/>
        <v>122.71081871219461</v>
      </c>
      <c r="N33" s="176">
        <f t="shared" si="12"/>
        <v>1378.1531888663621</v>
      </c>
      <c r="O33" s="176">
        <f t="shared" si="12"/>
        <v>1378.1531888663621</v>
      </c>
      <c r="P33" s="176">
        <f t="shared" si="13"/>
        <v>123.36275583647122</v>
      </c>
      <c r="Q33" s="176">
        <f t="shared" si="14"/>
        <v>204.24826385892663</v>
      </c>
      <c r="R33" s="176">
        <f t="shared" si="15"/>
        <v>122.71081871219461</v>
      </c>
      <c r="S33" s="176">
        <f t="shared" si="16"/>
        <v>255.99150873011834</v>
      </c>
    </row>
    <row r="34" spans="1:26" ht="12" thickBot="1" x14ac:dyDescent="0.2">
      <c r="A34" s="179"/>
      <c r="B34" s="64" t="s">
        <v>177</v>
      </c>
      <c r="C34" s="180">
        <f t="shared" si="3"/>
        <v>73.509932530344699</v>
      </c>
      <c r="D34" s="180">
        <f t="shared" si="4"/>
        <v>204.24826385892663</v>
      </c>
      <c r="E34" s="180">
        <f t="shared" si="5"/>
        <v>292.46254093877207</v>
      </c>
      <c r="F34" s="180">
        <f t="shared" si="6"/>
        <v>1132.3455040296524</v>
      </c>
      <c r="G34" s="180">
        <f t="shared" si="7"/>
        <v>154.33902338046931</v>
      </c>
      <c r="H34" s="180">
        <f t="shared" si="7"/>
        <v>154.33902338046931</v>
      </c>
      <c r="I34" s="180">
        <f t="shared" si="8"/>
        <v>399.08436789449786</v>
      </c>
      <c r="J34" s="180">
        <f t="shared" si="9"/>
        <v>105.87086626827424</v>
      </c>
      <c r="K34" s="180">
        <f t="shared" si="10"/>
        <v>49.9369827750306</v>
      </c>
      <c r="L34" s="180">
        <f t="shared" si="10"/>
        <v>49.9369827750306</v>
      </c>
      <c r="M34" s="180">
        <f t="shared" si="11"/>
        <v>122.71081871219461</v>
      </c>
      <c r="N34" s="180">
        <f t="shared" si="12"/>
        <v>1378.1531888663621</v>
      </c>
      <c r="O34" s="180">
        <f t="shared" si="12"/>
        <v>1378.1531888663621</v>
      </c>
      <c r="P34" s="180">
        <f t="shared" si="13"/>
        <v>123.36275583647122</v>
      </c>
      <c r="Q34" s="180">
        <f t="shared" si="14"/>
        <v>204.24826385892663</v>
      </c>
      <c r="R34" s="180">
        <f t="shared" si="15"/>
        <v>122.71081871219461</v>
      </c>
      <c r="S34" s="180">
        <f t="shared" si="16"/>
        <v>255.99150873011834</v>
      </c>
    </row>
    <row r="35" spans="1:26" x14ac:dyDescent="0.15">
      <c r="A35" s="160" t="s">
        <v>356</v>
      </c>
      <c r="B35" t="s">
        <v>166</v>
      </c>
      <c r="C35" s="176">
        <f t="shared" ref="C35:C46" si="17">$N$9</f>
        <v>47.493255214444041</v>
      </c>
      <c r="D35" s="176">
        <f t="shared" ref="D35:D46" si="18">$N$6</f>
        <v>140.6758795128967</v>
      </c>
      <c r="E35" s="176">
        <f t="shared" ref="E35:E46" si="19">$N$14</f>
        <v>119</v>
      </c>
      <c r="F35" s="176">
        <f t="shared" ref="F35:F46" si="20">$N$15</f>
        <v>912.89219780850442</v>
      </c>
      <c r="G35" s="176">
        <f t="shared" ref="G35:H46" si="21">$N$8</f>
        <v>102.66334106738256</v>
      </c>
      <c r="H35" s="176">
        <f t="shared" si="21"/>
        <v>102.66334106738256</v>
      </c>
      <c r="I35" s="176">
        <f t="shared" ref="I35:I46" si="22">$N$17</f>
        <v>204.89851807091725</v>
      </c>
      <c r="J35" s="176">
        <f t="shared" ref="J35:J46" si="23">$N$7</f>
        <v>54.898482239710518</v>
      </c>
      <c r="K35" s="176">
        <f t="shared" ref="K35:L46" si="24">$N$10</f>
        <v>34.228899760626916</v>
      </c>
      <c r="L35" s="176">
        <f t="shared" si="24"/>
        <v>34.228899760626916</v>
      </c>
      <c r="M35" s="176">
        <f t="shared" ref="M35:M46" si="25">$N$11</f>
        <v>72.234198253514094</v>
      </c>
      <c r="N35" s="176">
        <f t="shared" ref="N35:O46" si="26">$N$16</f>
        <v>1116.2052177706701</v>
      </c>
      <c r="O35" s="176">
        <f t="shared" si="26"/>
        <v>1116.2052177706701</v>
      </c>
      <c r="P35" s="176">
        <f t="shared" ref="P35:P46" si="27">$N$12</f>
        <v>76.821254580387489</v>
      </c>
      <c r="Q35" s="176">
        <f t="shared" ref="Q35:Q46" si="28">$N$6</f>
        <v>140.6758795128967</v>
      </c>
      <c r="R35" s="176">
        <f t="shared" ref="R35:R46" si="29">$N$11</f>
        <v>72.234198253514094</v>
      </c>
      <c r="S35" s="176">
        <f t="shared" ref="S35:S46" si="30">$N$13</f>
        <v>168.87629761189342</v>
      </c>
    </row>
    <row r="36" spans="1:26" x14ac:dyDescent="0.15">
      <c r="A36" s="160"/>
      <c r="B36" t="s">
        <v>167</v>
      </c>
      <c r="C36" s="176">
        <f t="shared" si="17"/>
        <v>47.493255214444041</v>
      </c>
      <c r="D36" s="176">
        <f t="shared" si="18"/>
        <v>140.6758795128967</v>
      </c>
      <c r="E36" s="176">
        <f t="shared" si="19"/>
        <v>119</v>
      </c>
      <c r="F36" s="176">
        <f t="shared" si="20"/>
        <v>912.89219780850442</v>
      </c>
      <c r="G36" s="176">
        <f t="shared" si="21"/>
        <v>102.66334106738256</v>
      </c>
      <c r="H36" s="176">
        <f t="shared" si="21"/>
        <v>102.66334106738256</v>
      </c>
      <c r="I36" s="176">
        <f t="shared" si="22"/>
        <v>204.89851807091725</v>
      </c>
      <c r="J36" s="176">
        <f t="shared" si="23"/>
        <v>54.898482239710518</v>
      </c>
      <c r="K36" s="176">
        <f t="shared" si="24"/>
        <v>34.228899760626916</v>
      </c>
      <c r="L36" s="176">
        <f t="shared" si="24"/>
        <v>34.228899760626916</v>
      </c>
      <c r="M36" s="176">
        <f t="shared" si="25"/>
        <v>72.234198253514094</v>
      </c>
      <c r="N36" s="176">
        <f t="shared" si="26"/>
        <v>1116.2052177706701</v>
      </c>
      <c r="O36" s="176">
        <f t="shared" si="26"/>
        <v>1116.2052177706701</v>
      </c>
      <c r="P36" s="176">
        <f t="shared" si="27"/>
        <v>76.821254580387489</v>
      </c>
      <c r="Q36" s="176">
        <f t="shared" si="28"/>
        <v>140.6758795128967</v>
      </c>
      <c r="R36" s="176">
        <f t="shared" si="29"/>
        <v>72.234198253514094</v>
      </c>
      <c r="S36" s="176">
        <f t="shared" si="30"/>
        <v>168.87629761189342</v>
      </c>
    </row>
    <row r="37" spans="1:26" x14ac:dyDescent="0.15">
      <c r="A37" s="160"/>
      <c r="B37" t="s">
        <v>168</v>
      </c>
      <c r="C37" s="176">
        <f t="shared" si="17"/>
        <v>47.493255214444041</v>
      </c>
      <c r="D37" s="176">
        <f t="shared" si="18"/>
        <v>140.6758795128967</v>
      </c>
      <c r="E37" s="176">
        <f t="shared" si="19"/>
        <v>119</v>
      </c>
      <c r="F37" s="176">
        <f t="shared" si="20"/>
        <v>912.89219780850442</v>
      </c>
      <c r="G37" s="176">
        <f t="shared" si="21"/>
        <v>102.66334106738256</v>
      </c>
      <c r="H37" s="176">
        <f t="shared" si="21"/>
        <v>102.66334106738256</v>
      </c>
      <c r="I37" s="176">
        <f t="shared" si="22"/>
        <v>204.89851807091725</v>
      </c>
      <c r="J37" s="176">
        <f t="shared" si="23"/>
        <v>54.898482239710518</v>
      </c>
      <c r="K37" s="176">
        <f t="shared" si="24"/>
        <v>34.228899760626916</v>
      </c>
      <c r="L37" s="176">
        <f t="shared" si="24"/>
        <v>34.228899760626916</v>
      </c>
      <c r="M37" s="176">
        <f t="shared" si="25"/>
        <v>72.234198253514094</v>
      </c>
      <c r="N37" s="176">
        <f t="shared" si="26"/>
        <v>1116.2052177706701</v>
      </c>
      <c r="O37" s="176">
        <f t="shared" si="26"/>
        <v>1116.2052177706701</v>
      </c>
      <c r="P37" s="176">
        <f t="shared" si="27"/>
        <v>76.821254580387489</v>
      </c>
      <c r="Q37" s="176">
        <f t="shared" si="28"/>
        <v>140.6758795128967</v>
      </c>
      <c r="R37" s="176">
        <f t="shared" si="29"/>
        <v>72.234198253514094</v>
      </c>
      <c r="S37" s="176">
        <f t="shared" si="30"/>
        <v>168.87629761189342</v>
      </c>
      <c r="T37" s="114"/>
      <c r="U37" s="114"/>
      <c r="V37" s="114"/>
      <c r="W37" s="114"/>
      <c r="X37" s="114"/>
      <c r="Y37" s="114"/>
      <c r="Z37" s="114"/>
    </row>
    <row r="38" spans="1:26" x14ac:dyDescent="0.15">
      <c r="A38" s="160"/>
      <c r="B38" t="s">
        <v>169</v>
      </c>
      <c r="C38" s="176">
        <f t="shared" si="17"/>
        <v>47.493255214444041</v>
      </c>
      <c r="D38" s="176">
        <f t="shared" si="18"/>
        <v>140.6758795128967</v>
      </c>
      <c r="E38" s="176">
        <f t="shared" si="19"/>
        <v>119</v>
      </c>
      <c r="F38" s="176">
        <f t="shared" si="20"/>
        <v>912.89219780850442</v>
      </c>
      <c r="G38" s="176">
        <f t="shared" si="21"/>
        <v>102.66334106738256</v>
      </c>
      <c r="H38" s="176">
        <f t="shared" si="21"/>
        <v>102.66334106738256</v>
      </c>
      <c r="I38" s="176">
        <f t="shared" si="22"/>
        <v>204.89851807091725</v>
      </c>
      <c r="J38" s="176">
        <f t="shared" si="23"/>
        <v>54.898482239710518</v>
      </c>
      <c r="K38" s="176">
        <f t="shared" si="24"/>
        <v>34.228899760626916</v>
      </c>
      <c r="L38" s="176">
        <f t="shared" si="24"/>
        <v>34.228899760626916</v>
      </c>
      <c r="M38" s="176">
        <f t="shared" si="25"/>
        <v>72.234198253514094</v>
      </c>
      <c r="N38" s="176">
        <f t="shared" si="26"/>
        <v>1116.2052177706701</v>
      </c>
      <c r="O38" s="176">
        <f t="shared" si="26"/>
        <v>1116.2052177706701</v>
      </c>
      <c r="P38" s="176">
        <f t="shared" si="27"/>
        <v>76.821254580387489</v>
      </c>
      <c r="Q38" s="176">
        <f t="shared" si="28"/>
        <v>140.6758795128967</v>
      </c>
      <c r="R38" s="176">
        <f t="shared" si="29"/>
        <v>72.234198253514094</v>
      </c>
      <c r="S38" s="176">
        <f t="shared" si="30"/>
        <v>168.87629761189342</v>
      </c>
      <c r="T38" s="138"/>
      <c r="U38" s="138"/>
      <c r="V38" s="138"/>
      <c r="W38" s="138"/>
      <c r="X38" s="138"/>
      <c r="Y38" s="138"/>
      <c r="Z38" s="138"/>
    </row>
    <row r="39" spans="1:26" x14ac:dyDescent="0.15">
      <c r="A39" s="160"/>
      <c r="B39" s="1" t="s">
        <v>170</v>
      </c>
      <c r="C39" s="176">
        <f t="shared" si="17"/>
        <v>47.493255214444041</v>
      </c>
      <c r="D39" s="176">
        <f t="shared" si="18"/>
        <v>140.6758795128967</v>
      </c>
      <c r="E39" s="176">
        <f t="shared" si="19"/>
        <v>119</v>
      </c>
      <c r="F39" s="176">
        <f t="shared" si="20"/>
        <v>912.89219780850442</v>
      </c>
      <c r="G39" s="176">
        <f t="shared" si="21"/>
        <v>102.66334106738256</v>
      </c>
      <c r="H39" s="176">
        <f t="shared" si="21"/>
        <v>102.66334106738256</v>
      </c>
      <c r="I39" s="176">
        <f t="shared" si="22"/>
        <v>204.89851807091725</v>
      </c>
      <c r="J39" s="176">
        <f t="shared" si="23"/>
        <v>54.898482239710518</v>
      </c>
      <c r="K39" s="176">
        <f t="shared" si="24"/>
        <v>34.228899760626916</v>
      </c>
      <c r="L39" s="176">
        <f t="shared" si="24"/>
        <v>34.228899760626916</v>
      </c>
      <c r="M39" s="176">
        <f t="shared" si="25"/>
        <v>72.234198253514094</v>
      </c>
      <c r="N39" s="176">
        <f t="shared" si="26"/>
        <v>1116.2052177706701</v>
      </c>
      <c r="O39" s="176">
        <f t="shared" si="26"/>
        <v>1116.2052177706701</v>
      </c>
      <c r="P39" s="176">
        <f t="shared" si="27"/>
        <v>76.821254580387489</v>
      </c>
      <c r="Q39" s="176">
        <f t="shared" si="28"/>
        <v>140.6758795128967</v>
      </c>
      <c r="R39" s="176">
        <f t="shared" si="29"/>
        <v>72.234198253514094</v>
      </c>
      <c r="S39" s="176">
        <f t="shared" si="30"/>
        <v>168.87629761189342</v>
      </c>
    </row>
    <row r="40" spans="1:26" x14ac:dyDescent="0.15">
      <c r="A40" s="160"/>
      <c r="B40" s="16" t="s">
        <v>171</v>
      </c>
      <c r="C40" s="177">
        <f t="shared" si="17"/>
        <v>47.493255214444041</v>
      </c>
      <c r="D40" s="177">
        <f t="shared" si="18"/>
        <v>140.6758795128967</v>
      </c>
      <c r="E40" s="177">
        <f t="shared" si="19"/>
        <v>119</v>
      </c>
      <c r="F40" s="177">
        <f t="shared" si="20"/>
        <v>912.89219780850442</v>
      </c>
      <c r="G40" s="177">
        <f t="shared" si="21"/>
        <v>102.66334106738256</v>
      </c>
      <c r="H40" s="177">
        <f t="shared" si="21"/>
        <v>102.66334106738256</v>
      </c>
      <c r="I40" s="177">
        <f t="shared" si="22"/>
        <v>204.89851807091725</v>
      </c>
      <c r="J40" s="177">
        <f t="shared" si="23"/>
        <v>54.898482239710518</v>
      </c>
      <c r="K40" s="177">
        <f t="shared" si="24"/>
        <v>34.228899760626916</v>
      </c>
      <c r="L40" s="177">
        <f t="shared" si="24"/>
        <v>34.228899760626916</v>
      </c>
      <c r="M40" s="177">
        <f t="shared" si="25"/>
        <v>72.234198253514094</v>
      </c>
      <c r="N40" s="177">
        <f t="shared" si="26"/>
        <v>1116.2052177706701</v>
      </c>
      <c r="O40" s="177">
        <f t="shared" si="26"/>
        <v>1116.2052177706701</v>
      </c>
      <c r="P40" s="177">
        <f t="shared" si="27"/>
        <v>76.821254580387489</v>
      </c>
      <c r="Q40" s="177">
        <f t="shared" si="28"/>
        <v>140.6758795128967</v>
      </c>
      <c r="R40" s="177">
        <f t="shared" si="29"/>
        <v>72.234198253514094</v>
      </c>
      <c r="S40" s="177">
        <f t="shared" si="30"/>
        <v>168.87629761189342</v>
      </c>
    </row>
    <row r="41" spans="1:26" x14ac:dyDescent="0.15">
      <c r="A41" s="160"/>
      <c r="B41" t="s">
        <v>172</v>
      </c>
      <c r="C41" s="176">
        <f t="shared" si="17"/>
        <v>47.493255214444041</v>
      </c>
      <c r="D41" s="176">
        <f t="shared" si="18"/>
        <v>140.6758795128967</v>
      </c>
      <c r="E41" s="176">
        <f t="shared" si="19"/>
        <v>119</v>
      </c>
      <c r="F41" s="176">
        <f t="shared" si="20"/>
        <v>912.89219780850442</v>
      </c>
      <c r="G41" s="176">
        <f t="shared" si="21"/>
        <v>102.66334106738256</v>
      </c>
      <c r="H41" s="176">
        <f t="shared" si="21"/>
        <v>102.66334106738256</v>
      </c>
      <c r="I41" s="176">
        <f t="shared" si="22"/>
        <v>204.89851807091725</v>
      </c>
      <c r="J41" s="176">
        <f t="shared" si="23"/>
        <v>54.898482239710518</v>
      </c>
      <c r="K41" s="176">
        <f t="shared" si="24"/>
        <v>34.228899760626916</v>
      </c>
      <c r="L41" s="176">
        <f t="shared" si="24"/>
        <v>34.228899760626916</v>
      </c>
      <c r="M41" s="176">
        <f t="shared" si="25"/>
        <v>72.234198253514094</v>
      </c>
      <c r="N41" s="176">
        <f t="shared" si="26"/>
        <v>1116.2052177706701</v>
      </c>
      <c r="O41" s="176">
        <f t="shared" si="26"/>
        <v>1116.2052177706701</v>
      </c>
      <c r="P41" s="176">
        <f t="shared" si="27"/>
        <v>76.821254580387489</v>
      </c>
      <c r="Q41" s="176">
        <f t="shared" si="28"/>
        <v>140.6758795128967</v>
      </c>
      <c r="R41" s="176">
        <f t="shared" si="29"/>
        <v>72.234198253514094</v>
      </c>
      <c r="S41" s="176">
        <f t="shared" si="30"/>
        <v>168.87629761189342</v>
      </c>
    </row>
    <row r="42" spans="1:26" x14ac:dyDescent="0.15">
      <c r="A42" s="160"/>
      <c r="B42" t="s">
        <v>173</v>
      </c>
      <c r="C42" s="176">
        <f t="shared" si="17"/>
        <v>47.493255214444041</v>
      </c>
      <c r="D42" s="176">
        <f t="shared" si="18"/>
        <v>140.6758795128967</v>
      </c>
      <c r="E42" s="176">
        <f t="shared" si="19"/>
        <v>119</v>
      </c>
      <c r="F42" s="176">
        <f t="shared" si="20"/>
        <v>912.89219780850442</v>
      </c>
      <c r="G42" s="176">
        <f t="shared" si="21"/>
        <v>102.66334106738256</v>
      </c>
      <c r="H42" s="176">
        <f t="shared" si="21"/>
        <v>102.66334106738256</v>
      </c>
      <c r="I42" s="176">
        <f t="shared" si="22"/>
        <v>204.89851807091725</v>
      </c>
      <c r="J42" s="176">
        <f t="shared" si="23"/>
        <v>54.898482239710518</v>
      </c>
      <c r="K42" s="176">
        <f t="shared" si="24"/>
        <v>34.228899760626916</v>
      </c>
      <c r="L42" s="176">
        <f t="shared" si="24"/>
        <v>34.228899760626916</v>
      </c>
      <c r="M42" s="176">
        <f t="shared" si="25"/>
        <v>72.234198253514094</v>
      </c>
      <c r="N42" s="176">
        <f t="shared" si="26"/>
        <v>1116.2052177706701</v>
      </c>
      <c r="O42" s="176">
        <f t="shared" si="26"/>
        <v>1116.2052177706701</v>
      </c>
      <c r="P42" s="176">
        <f t="shared" si="27"/>
        <v>76.821254580387489</v>
      </c>
      <c r="Q42" s="176">
        <f t="shared" si="28"/>
        <v>140.6758795128967</v>
      </c>
      <c r="R42" s="176">
        <f t="shared" si="29"/>
        <v>72.234198253514094</v>
      </c>
      <c r="S42" s="176">
        <f t="shared" si="30"/>
        <v>168.87629761189342</v>
      </c>
    </row>
    <row r="43" spans="1:26" x14ac:dyDescent="0.15">
      <c r="A43" s="160"/>
      <c r="B43" t="s">
        <v>174</v>
      </c>
      <c r="C43" s="176">
        <f t="shared" si="17"/>
        <v>47.493255214444041</v>
      </c>
      <c r="D43" s="176">
        <f t="shared" si="18"/>
        <v>140.6758795128967</v>
      </c>
      <c r="E43" s="176">
        <f t="shared" si="19"/>
        <v>119</v>
      </c>
      <c r="F43" s="176">
        <f t="shared" si="20"/>
        <v>912.89219780850442</v>
      </c>
      <c r="G43" s="176">
        <f t="shared" si="21"/>
        <v>102.66334106738256</v>
      </c>
      <c r="H43" s="176">
        <f t="shared" si="21"/>
        <v>102.66334106738256</v>
      </c>
      <c r="I43" s="176">
        <f t="shared" si="22"/>
        <v>204.89851807091725</v>
      </c>
      <c r="J43" s="176">
        <f t="shared" si="23"/>
        <v>54.898482239710518</v>
      </c>
      <c r="K43" s="176">
        <f t="shared" si="24"/>
        <v>34.228899760626916</v>
      </c>
      <c r="L43" s="176">
        <f t="shared" si="24"/>
        <v>34.228899760626916</v>
      </c>
      <c r="M43" s="176">
        <f t="shared" si="25"/>
        <v>72.234198253514094</v>
      </c>
      <c r="N43" s="176">
        <f t="shared" si="26"/>
        <v>1116.2052177706701</v>
      </c>
      <c r="O43" s="176">
        <f t="shared" si="26"/>
        <v>1116.2052177706701</v>
      </c>
      <c r="P43" s="176">
        <f t="shared" si="27"/>
        <v>76.821254580387489</v>
      </c>
      <c r="Q43" s="176">
        <f t="shared" si="28"/>
        <v>140.6758795128967</v>
      </c>
      <c r="R43" s="176">
        <f t="shared" si="29"/>
        <v>72.234198253514094</v>
      </c>
      <c r="S43" s="176">
        <f t="shared" si="30"/>
        <v>168.87629761189342</v>
      </c>
    </row>
    <row r="44" spans="1:26" x14ac:dyDescent="0.15">
      <c r="A44" s="160"/>
      <c r="B44" t="s">
        <v>175</v>
      </c>
      <c r="C44" s="176">
        <f t="shared" si="17"/>
        <v>47.493255214444041</v>
      </c>
      <c r="D44" s="176">
        <f t="shared" si="18"/>
        <v>140.6758795128967</v>
      </c>
      <c r="E44" s="176">
        <f t="shared" si="19"/>
        <v>119</v>
      </c>
      <c r="F44" s="176">
        <f t="shared" si="20"/>
        <v>912.89219780850442</v>
      </c>
      <c r="G44" s="176">
        <f t="shared" si="21"/>
        <v>102.66334106738256</v>
      </c>
      <c r="H44" s="176">
        <f t="shared" si="21"/>
        <v>102.66334106738256</v>
      </c>
      <c r="I44" s="176">
        <f t="shared" si="22"/>
        <v>204.89851807091725</v>
      </c>
      <c r="J44" s="176">
        <f t="shared" si="23"/>
        <v>54.898482239710518</v>
      </c>
      <c r="K44" s="176">
        <f t="shared" si="24"/>
        <v>34.228899760626916</v>
      </c>
      <c r="L44" s="176">
        <f t="shared" si="24"/>
        <v>34.228899760626916</v>
      </c>
      <c r="M44" s="176">
        <f t="shared" si="25"/>
        <v>72.234198253514094</v>
      </c>
      <c r="N44" s="176">
        <f t="shared" si="26"/>
        <v>1116.2052177706701</v>
      </c>
      <c r="O44" s="176">
        <f t="shared" si="26"/>
        <v>1116.2052177706701</v>
      </c>
      <c r="P44" s="176">
        <f t="shared" si="27"/>
        <v>76.821254580387489</v>
      </c>
      <c r="Q44" s="176">
        <f t="shared" si="28"/>
        <v>140.6758795128967</v>
      </c>
      <c r="R44" s="176">
        <f t="shared" si="29"/>
        <v>72.234198253514094</v>
      </c>
      <c r="S44" s="176">
        <f t="shared" si="30"/>
        <v>168.87629761189342</v>
      </c>
    </row>
    <row r="45" spans="1:26" x14ac:dyDescent="0.15">
      <c r="A45" s="183"/>
      <c r="B45" s="1" t="s">
        <v>176</v>
      </c>
      <c r="C45" s="32">
        <f t="shared" si="17"/>
        <v>47.493255214444041</v>
      </c>
      <c r="D45" s="32">
        <f t="shared" si="18"/>
        <v>140.6758795128967</v>
      </c>
      <c r="E45" s="32">
        <f t="shared" si="19"/>
        <v>119</v>
      </c>
      <c r="F45" s="32">
        <f t="shared" si="20"/>
        <v>912.89219780850442</v>
      </c>
      <c r="G45" s="32">
        <f t="shared" si="21"/>
        <v>102.66334106738256</v>
      </c>
      <c r="H45" s="32">
        <f t="shared" si="21"/>
        <v>102.66334106738256</v>
      </c>
      <c r="I45" s="32">
        <f t="shared" si="22"/>
        <v>204.89851807091725</v>
      </c>
      <c r="J45" s="32">
        <f t="shared" si="23"/>
        <v>54.898482239710518</v>
      </c>
      <c r="K45" s="32">
        <f t="shared" si="24"/>
        <v>34.228899760626916</v>
      </c>
      <c r="L45" s="32">
        <f t="shared" si="24"/>
        <v>34.228899760626916</v>
      </c>
      <c r="M45" s="32">
        <f t="shared" si="25"/>
        <v>72.234198253514094</v>
      </c>
      <c r="N45" s="32">
        <f t="shared" si="26"/>
        <v>1116.2052177706701</v>
      </c>
      <c r="O45" s="32">
        <f t="shared" si="26"/>
        <v>1116.2052177706701</v>
      </c>
      <c r="P45" s="32">
        <f t="shared" si="27"/>
        <v>76.821254580387489</v>
      </c>
      <c r="Q45" s="32">
        <f t="shared" si="28"/>
        <v>140.6758795128967</v>
      </c>
      <c r="R45" s="32">
        <f t="shared" si="29"/>
        <v>72.234198253514094</v>
      </c>
      <c r="S45" s="32">
        <f t="shared" si="30"/>
        <v>168.87629761189342</v>
      </c>
    </row>
    <row r="46" spans="1:26" ht="12" thickBot="1" x14ac:dyDescent="0.2">
      <c r="A46" s="184"/>
      <c r="B46" s="64" t="s">
        <v>177</v>
      </c>
      <c r="C46" s="180">
        <f t="shared" si="17"/>
        <v>47.493255214444041</v>
      </c>
      <c r="D46" s="180">
        <f t="shared" si="18"/>
        <v>140.6758795128967</v>
      </c>
      <c r="E46" s="180">
        <f t="shared" si="19"/>
        <v>119</v>
      </c>
      <c r="F46" s="180">
        <f t="shared" si="20"/>
        <v>912.89219780850442</v>
      </c>
      <c r="G46" s="180">
        <f t="shared" si="21"/>
        <v>102.66334106738256</v>
      </c>
      <c r="H46" s="180">
        <f t="shared" si="21"/>
        <v>102.66334106738256</v>
      </c>
      <c r="I46" s="180">
        <f t="shared" si="22"/>
        <v>204.89851807091725</v>
      </c>
      <c r="J46" s="180">
        <f t="shared" si="23"/>
        <v>54.898482239710518</v>
      </c>
      <c r="K46" s="180">
        <f t="shared" si="24"/>
        <v>34.228899760626916</v>
      </c>
      <c r="L46" s="180">
        <f t="shared" si="24"/>
        <v>34.228899760626916</v>
      </c>
      <c r="M46" s="180">
        <f t="shared" si="25"/>
        <v>72.234198253514094</v>
      </c>
      <c r="N46" s="180">
        <f t="shared" si="26"/>
        <v>1116.2052177706701</v>
      </c>
      <c r="O46" s="180">
        <f t="shared" si="26"/>
        <v>1116.2052177706701</v>
      </c>
      <c r="P46" s="180">
        <f t="shared" si="27"/>
        <v>76.821254580387489</v>
      </c>
      <c r="Q46" s="180">
        <f t="shared" si="28"/>
        <v>140.6758795128967</v>
      </c>
      <c r="R46" s="180">
        <f t="shared" si="29"/>
        <v>72.234198253514094</v>
      </c>
      <c r="S46" s="180">
        <f t="shared" si="30"/>
        <v>168.87629761189342</v>
      </c>
    </row>
    <row r="47" spans="1:26" x14ac:dyDescent="0.15">
      <c r="A47" s="144" t="s">
        <v>358</v>
      </c>
      <c r="B47" t="s">
        <v>166</v>
      </c>
      <c r="C47" s="176">
        <f t="shared" ref="C47:C58" si="31">$O$9</f>
        <v>117.57224957854564</v>
      </c>
      <c r="D47" s="176">
        <f t="shared" ref="D47:D58" si="32">$O$6</f>
        <v>373.96893311170885</v>
      </c>
      <c r="E47" s="176">
        <f t="shared" ref="E47:E58" si="33">$O$14</f>
        <v>427</v>
      </c>
      <c r="F47" s="176">
        <f t="shared" ref="F47:F58" si="34">$O$15</f>
        <v>1517.5529913677387</v>
      </c>
      <c r="G47" s="176">
        <f t="shared" ref="G47:H58" si="35">$O$8</f>
        <v>221.52562039316132</v>
      </c>
      <c r="H47" s="176">
        <f t="shared" si="35"/>
        <v>221.52562039316132</v>
      </c>
      <c r="I47" s="176">
        <f t="shared" ref="I47:I58" si="36">$O$17</f>
        <v>625.63028490024294</v>
      </c>
      <c r="J47" s="176">
        <f t="shared" ref="J47:J58" si="37">$O$7</f>
        <v>279.97521360475105</v>
      </c>
      <c r="K47" s="176">
        <f t="shared" ref="K47:L58" si="38">$O$10</f>
        <v>78.59341068174767</v>
      </c>
      <c r="L47" s="176">
        <f t="shared" si="38"/>
        <v>78.59341068174767</v>
      </c>
      <c r="M47" s="176">
        <f t="shared" ref="M47:M58" si="39">$O$11</f>
        <v>226.13860525118605</v>
      </c>
      <c r="N47" s="176">
        <f t="shared" ref="N47:O58" si="40">$O$16</f>
        <v>1916.782657757019</v>
      </c>
      <c r="O47" s="176">
        <f t="shared" si="40"/>
        <v>1916.782657757019</v>
      </c>
      <c r="P47" s="176">
        <f t="shared" ref="P47:P58" si="41">$O$12</f>
        <v>237.22931927370161</v>
      </c>
      <c r="Q47" s="176">
        <f t="shared" ref="Q47:Q58" si="42">$O$6</f>
        <v>373.96893311170885</v>
      </c>
      <c r="R47" s="176">
        <f t="shared" ref="R47:R58" si="43">$O$11</f>
        <v>226.13860525118605</v>
      </c>
      <c r="S47" s="176">
        <f t="shared" ref="S47:S58" si="44">$O$13</f>
        <v>385.6494474284886</v>
      </c>
    </row>
    <row r="48" spans="1:26" x14ac:dyDescent="0.15">
      <c r="A48" s="144"/>
      <c r="B48" t="s">
        <v>167</v>
      </c>
      <c r="C48" s="176">
        <f t="shared" si="31"/>
        <v>117.57224957854564</v>
      </c>
      <c r="D48" s="176">
        <f t="shared" si="32"/>
        <v>373.96893311170885</v>
      </c>
      <c r="E48" s="176">
        <f t="shared" si="33"/>
        <v>427</v>
      </c>
      <c r="F48" s="176">
        <f t="shared" si="34"/>
        <v>1517.5529913677387</v>
      </c>
      <c r="G48" s="176">
        <f t="shared" si="35"/>
        <v>221.52562039316132</v>
      </c>
      <c r="H48" s="176">
        <f t="shared" si="35"/>
        <v>221.52562039316132</v>
      </c>
      <c r="I48" s="176">
        <f t="shared" si="36"/>
        <v>625.63028490024294</v>
      </c>
      <c r="J48" s="176">
        <f t="shared" si="37"/>
        <v>279.97521360475105</v>
      </c>
      <c r="K48" s="176">
        <f t="shared" si="38"/>
        <v>78.59341068174767</v>
      </c>
      <c r="L48" s="176">
        <f t="shared" si="38"/>
        <v>78.59341068174767</v>
      </c>
      <c r="M48" s="176">
        <f t="shared" si="39"/>
        <v>226.13860525118605</v>
      </c>
      <c r="N48" s="176">
        <f t="shared" si="40"/>
        <v>1916.782657757019</v>
      </c>
      <c r="O48" s="176">
        <f t="shared" si="40"/>
        <v>1916.782657757019</v>
      </c>
      <c r="P48" s="176">
        <f t="shared" si="41"/>
        <v>237.22931927370161</v>
      </c>
      <c r="Q48" s="176">
        <f t="shared" si="42"/>
        <v>373.96893311170885</v>
      </c>
      <c r="R48" s="176">
        <f t="shared" si="43"/>
        <v>226.13860525118605</v>
      </c>
      <c r="S48" s="176">
        <f t="shared" si="44"/>
        <v>385.6494474284886</v>
      </c>
    </row>
    <row r="49" spans="1:19" x14ac:dyDescent="0.15">
      <c r="A49" s="144"/>
      <c r="B49" t="s">
        <v>168</v>
      </c>
      <c r="C49" s="176">
        <f t="shared" si="31"/>
        <v>117.57224957854564</v>
      </c>
      <c r="D49" s="176">
        <f t="shared" si="32"/>
        <v>373.96893311170885</v>
      </c>
      <c r="E49" s="176">
        <f t="shared" si="33"/>
        <v>427</v>
      </c>
      <c r="F49" s="176">
        <f t="shared" si="34"/>
        <v>1517.5529913677387</v>
      </c>
      <c r="G49" s="176">
        <f t="shared" si="35"/>
        <v>221.52562039316132</v>
      </c>
      <c r="H49" s="176">
        <f t="shared" si="35"/>
        <v>221.52562039316132</v>
      </c>
      <c r="I49" s="176">
        <f t="shared" si="36"/>
        <v>625.63028490024294</v>
      </c>
      <c r="J49" s="176">
        <f t="shared" si="37"/>
        <v>279.97521360475105</v>
      </c>
      <c r="K49" s="176">
        <f t="shared" si="38"/>
        <v>78.59341068174767</v>
      </c>
      <c r="L49" s="176">
        <f t="shared" si="38"/>
        <v>78.59341068174767</v>
      </c>
      <c r="M49" s="176">
        <f t="shared" si="39"/>
        <v>226.13860525118605</v>
      </c>
      <c r="N49" s="176">
        <f t="shared" si="40"/>
        <v>1916.782657757019</v>
      </c>
      <c r="O49" s="176">
        <f t="shared" si="40"/>
        <v>1916.782657757019</v>
      </c>
      <c r="P49" s="176">
        <f t="shared" si="41"/>
        <v>237.22931927370161</v>
      </c>
      <c r="Q49" s="176">
        <f t="shared" si="42"/>
        <v>373.96893311170885</v>
      </c>
      <c r="R49" s="176">
        <f t="shared" si="43"/>
        <v>226.13860525118605</v>
      </c>
      <c r="S49" s="176">
        <f t="shared" si="44"/>
        <v>385.6494474284886</v>
      </c>
    </row>
    <row r="50" spans="1:19" x14ac:dyDescent="0.15">
      <c r="A50" s="144"/>
      <c r="B50" t="s">
        <v>169</v>
      </c>
      <c r="C50" s="176">
        <f t="shared" si="31"/>
        <v>117.57224957854564</v>
      </c>
      <c r="D50" s="176">
        <f t="shared" si="32"/>
        <v>373.96893311170885</v>
      </c>
      <c r="E50" s="176">
        <f t="shared" si="33"/>
        <v>427</v>
      </c>
      <c r="F50" s="176">
        <f t="shared" si="34"/>
        <v>1517.5529913677387</v>
      </c>
      <c r="G50" s="176">
        <f t="shared" si="35"/>
        <v>221.52562039316132</v>
      </c>
      <c r="H50" s="176">
        <f t="shared" si="35"/>
        <v>221.52562039316132</v>
      </c>
      <c r="I50" s="176">
        <f t="shared" si="36"/>
        <v>625.63028490024294</v>
      </c>
      <c r="J50" s="176">
        <f t="shared" si="37"/>
        <v>279.97521360475105</v>
      </c>
      <c r="K50" s="176">
        <f t="shared" si="38"/>
        <v>78.59341068174767</v>
      </c>
      <c r="L50" s="176">
        <f t="shared" si="38"/>
        <v>78.59341068174767</v>
      </c>
      <c r="M50" s="176">
        <f t="shared" si="39"/>
        <v>226.13860525118605</v>
      </c>
      <c r="N50" s="176">
        <f t="shared" si="40"/>
        <v>1916.782657757019</v>
      </c>
      <c r="O50" s="176">
        <f t="shared" si="40"/>
        <v>1916.782657757019</v>
      </c>
      <c r="P50" s="176">
        <f t="shared" si="41"/>
        <v>237.22931927370161</v>
      </c>
      <c r="Q50" s="176">
        <f t="shared" si="42"/>
        <v>373.96893311170885</v>
      </c>
      <c r="R50" s="176">
        <f t="shared" si="43"/>
        <v>226.13860525118605</v>
      </c>
      <c r="S50" s="176">
        <f t="shared" si="44"/>
        <v>385.6494474284886</v>
      </c>
    </row>
    <row r="51" spans="1:19" x14ac:dyDescent="0.15">
      <c r="A51" s="144"/>
      <c r="B51" s="1" t="s">
        <v>170</v>
      </c>
      <c r="C51" s="176">
        <f t="shared" si="31"/>
        <v>117.57224957854564</v>
      </c>
      <c r="D51" s="176">
        <f t="shared" si="32"/>
        <v>373.96893311170885</v>
      </c>
      <c r="E51" s="176">
        <f t="shared" si="33"/>
        <v>427</v>
      </c>
      <c r="F51" s="176">
        <f t="shared" si="34"/>
        <v>1517.5529913677387</v>
      </c>
      <c r="G51" s="176">
        <f t="shared" si="35"/>
        <v>221.52562039316132</v>
      </c>
      <c r="H51" s="176">
        <f t="shared" si="35"/>
        <v>221.52562039316132</v>
      </c>
      <c r="I51" s="176">
        <f t="shared" si="36"/>
        <v>625.63028490024294</v>
      </c>
      <c r="J51" s="176">
        <f t="shared" si="37"/>
        <v>279.97521360475105</v>
      </c>
      <c r="K51" s="176">
        <f t="shared" si="38"/>
        <v>78.59341068174767</v>
      </c>
      <c r="L51" s="176">
        <f t="shared" si="38"/>
        <v>78.59341068174767</v>
      </c>
      <c r="M51" s="176">
        <f t="shared" si="39"/>
        <v>226.13860525118605</v>
      </c>
      <c r="N51" s="176">
        <f t="shared" si="40"/>
        <v>1916.782657757019</v>
      </c>
      <c r="O51" s="176">
        <f t="shared" si="40"/>
        <v>1916.782657757019</v>
      </c>
      <c r="P51" s="176">
        <f t="shared" si="41"/>
        <v>237.22931927370161</v>
      </c>
      <c r="Q51" s="176">
        <f t="shared" si="42"/>
        <v>373.96893311170885</v>
      </c>
      <c r="R51" s="176">
        <f t="shared" si="43"/>
        <v>226.13860525118605</v>
      </c>
      <c r="S51" s="176">
        <f t="shared" si="44"/>
        <v>385.6494474284886</v>
      </c>
    </row>
    <row r="52" spans="1:19" x14ac:dyDescent="0.15">
      <c r="A52" s="144"/>
      <c r="B52" s="16" t="s">
        <v>171</v>
      </c>
      <c r="C52" s="177">
        <f t="shared" si="31"/>
        <v>117.57224957854564</v>
      </c>
      <c r="D52" s="177">
        <f t="shared" si="32"/>
        <v>373.96893311170885</v>
      </c>
      <c r="E52" s="177">
        <f t="shared" si="33"/>
        <v>427</v>
      </c>
      <c r="F52" s="177">
        <f t="shared" si="34"/>
        <v>1517.5529913677387</v>
      </c>
      <c r="G52" s="177">
        <f t="shared" si="35"/>
        <v>221.52562039316132</v>
      </c>
      <c r="H52" s="177">
        <f t="shared" si="35"/>
        <v>221.52562039316132</v>
      </c>
      <c r="I52" s="177">
        <f t="shared" si="36"/>
        <v>625.63028490024294</v>
      </c>
      <c r="J52" s="177">
        <f t="shared" si="37"/>
        <v>279.97521360475105</v>
      </c>
      <c r="K52" s="177">
        <f t="shared" si="38"/>
        <v>78.59341068174767</v>
      </c>
      <c r="L52" s="177">
        <f t="shared" si="38"/>
        <v>78.59341068174767</v>
      </c>
      <c r="M52" s="177">
        <f t="shared" si="39"/>
        <v>226.13860525118605</v>
      </c>
      <c r="N52" s="177">
        <f t="shared" si="40"/>
        <v>1916.782657757019</v>
      </c>
      <c r="O52" s="177">
        <f t="shared" si="40"/>
        <v>1916.782657757019</v>
      </c>
      <c r="P52" s="177">
        <f t="shared" si="41"/>
        <v>237.22931927370161</v>
      </c>
      <c r="Q52" s="177">
        <f t="shared" si="42"/>
        <v>373.96893311170885</v>
      </c>
      <c r="R52" s="177">
        <f t="shared" si="43"/>
        <v>226.13860525118605</v>
      </c>
      <c r="S52" s="177">
        <f t="shared" si="44"/>
        <v>385.6494474284886</v>
      </c>
    </row>
    <row r="53" spans="1:19" x14ac:dyDescent="0.15">
      <c r="A53" s="144"/>
      <c r="B53" t="s">
        <v>172</v>
      </c>
      <c r="C53" s="176">
        <f t="shared" si="31"/>
        <v>117.57224957854564</v>
      </c>
      <c r="D53" s="176">
        <f t="shared" si="32"/>
        <v>373.96893311170885</v>
      </c>
      <c r="E53" s="176">
        <f t="shared" si="33"/>
        <v>427</v>
      </c>
      <c r="F53" s="176">
        <f t="shared" si="34"/>
        <v>1517.5529913677387</v>
      </c>
      <c r="G53" s="176">
        <f t="shared" si="35"/>
        <v>221.52562039316132</v>
      </c>
      <c r="H53" s="176">
        <f t="shared" si="35"/>
        <v>221.52562039316132</v>
      </c>
      <c r="I53" s="176">
        <f t="shared" si="36"/>
        <v>625.63028490024294</v>
      </c>
      <c r="J53" s="176">
        <f t="shared" si="37"/>
        <v>279.97521360475105</v>
      </c>
      <c r="K53" s="176">
        <f t="shared" si="38"/>
        <v>78.59341068174767</v>
      </c>
      <c r="L53" s="176">
        <f t="shared" si="38"/>
        <v>78.59341068174767</v>
      </c>
      <c r="M53" s="176">
        <f t="shared" si="39"/>
        <v>226.13860525118605</v>
      </c>
      <c r="N53" s="176">
        <f t="shared" si="40"/>
        <v>1916.782657757019</v>
      </c>
      <c r="O53" s="176">
        <f t="shared" si="40"/>
        <v>1916.782657757019</v>
      </c>
      <c r="P53" s="176">
        <f t="shared" si="41"/>
        <v>237.22931927370161</v>
      </c>
      <c r="Q53" s="176">
        <f t="shared" si="42"/>
        <v>373.96893311170885</v>
      </c>
      <c r="R53" s="176">
        <f t="shared" si="43"/>
        <v>226.13860525118605</v>
      </c>
      <c r="S53" s="176">
        <f t="shared" si="44"/>
        <v>385.6494474284886</v>
      </c>
    </row>
    <row r="54" spans="1:19" x14ac:dyDescent="0.15">
      <c r="A54" s="144"/>
      <c r="B54" t="s">
        <v>173</v>
      </c>
      <c r="C54" s="176">
        <f t="shared" si="31"/>
        <v>117.57224957854564</v>
      </c>
      <c r="D54" s="176">
        <f t="shared" si="32"/>
        <v>373.96893311170885</v>
      </c>
      <c r="E54" s="176">
        <f t="shared" si="33"/>
        <v>427</v>
      </c>
      <c r="F54" s="176">
        <f t="shared" si="34"/>
        <v>1517.5529913677387</v>
      </c>
      <c r="G54" s="176">
        <f t="shared" si="35"/>
        <v>221.52562039316132</v>
      </c>
      <c r="H54" s="176">
        <f t="shared" si="35"/>
        <v>221.52562039316132</v>
      </c>
      <c r="I54" s="176">
        <f t="shared" si="36"/>
        <v>625.63028490024294</v>
      </c>
      <c r="J54" s="176">
        <f t="shared" si="37"/>
        <v>279.97521360475105</v>
      </c>
      <c r="K54" s="176">
        <f t="shared" si="38"/>
        <v>78.59341068174767</v>
      </c>
      <c r="L54" s="176">
        <f t="shared" si="38"/>
        <v>78.59341068174767</v>
      </c>
      <c r="M54" s="176">
        <f t="shared" si="39"/>
        <v>226.13860525118605</v>
      </c>
      <c r="N54" s="176">
        <f t="shared" si="40"/>
        <v>1916.782657757019</v>
      </c>
      <c r="O54" s="176">
        <f t="shared" si="40"/>
        <v>1916.782657757019</v>
      </c>
      <c r="P54" s="176">
        <f t="shared" si="41"/>
        <v>237.22931927370161</v>
      </c>
      <c r="Q54" s="176">
        <f t="shared" si="42"/>
        <v>373.96893311170885</v>
      </c>
      <c r="R54" s="176">
        <f t="shared" si="43"/>
        <v>226.13860525118605</v>
      </c>
      <c r="S54" s="176">
        <f t="shared" si="44"/>
        <v>385.6494474284886</v>
      </c>
    </row>
    <row r="55" spans="1:19" x14ac:dyDescent="0.15">
      <c r="A55" s="144"/>
      <c r="B55" t="s">
        <v>174</v>
      </c>
      <c r="C55" s="176">
        <f t="shared" si="31"/>
        <v>117.57224957854564</v>
      </c>
      <c r="D55" s="176">
        <f t="shared" si="32"/>
        <v>373.96893311170885</v>
      </c>
      <c r="E55" s="176">
        <f t="shared" si="33"/>
        <v>427</v>
      </c>
      <c r="F55" s="176">
        <f t="shared" si="34"/>
        <v>1517.5529913677387</v>
      </c>
      <c r="G55" s="176">
        <f t="shared" si="35"/>
        <v>221.52562039316132</v>
      </c>
      <c r="H55" s="176">
        <f t="shared" si="35"/>
        <v>221.52562039316132</v>
      </c>
      <c r="I55" s="176">
        <f t="shared" si="36"/>
        <v>625.63028490024294</v>
      </c>
      <c r="J55" s="176">
        <f t="shared" si="37"/>
        <v>279.97521360475105</v>
      </c>
      <c r="K55" s="176">
        <f t="shared" si="38"/>
        <v>78.59341068174767</v>
      </c>
      <c r="L55" s="176">
        <f t="shared" si="38"/>
        <v>78.59341068174767</v>
      </c>
      <c r="M55" s="176">
        <f t="shared" si="39"/>
        <v>226.13860525118605</v>
      </c>
      <c r="N55" s="176">
        <f t="shared" si="40"/>
        <v>1916.782657757019</v>
      </c>
      <c r="O55" s="176">
        <f t="shared" si="40"/>
        <v>1916.782657757019</v>
      </c>
      <c r="P55" s="176">
        <f t="shared" si="41"/>
        <v>237.22931927370161</v>
      </c>
      <c r="Q55" s="176">
        <f t="shared" si="42"/>
        <v>373.96893311170885</v>
      </c>
      <c r="R55" s="176">
        <f t="shared" si="43"/>
        <v>226.13860525118605</v>
      </c>
      <c r="S55" s="176">
        <f t="shared" si="44"/>
        <v>385.6494474284886</v>
      </c>
    </row>
    <row r="56" spans="1:19" x14ac:dyDescent="0.15">
      <c r="A56" s="144"/>
      <c r="B56" t="s">
        <v>175</v>
      </c>
      <c r="C56" s="176">
        <f t="shared" si="31"/>
        <v>117.57224957854564</v>
      </c>
      <c r="D56" s="176">
        <f t="shared" si="32"/>
        <v>373.96893311170885</v>
      </c>
      <c r="E56" s="176">
        <f t="shared" si="33"/>
        <v>427</v>
      </c>
      <c r="F56" s="176">
        <f t="shared" si="34"/>
        <v>1517.5529913677387</v>
      </c>
      <c r="G56" s="176">
        <f t="shared" si="35"/>
        <v>221.52562039316132</v>
      </c>
      <c r="H56" s="176">
        <f t="shared" si="35"/>
        <v>221.52562039316132</v>
      </c>
      <c r="I56" s="176">
        <f t="shared" si="36"/>
        <v>625.63028490024294</v>
      </c>
      <c r="J56" s="176">
        <f t="shared" si="37"/>
        <v>279.97521360475105</v>
      </c>
      <c r="K56" s="176">
        <f t="shared" si="38"/>
        <v>78.59341068174767</v>
      </c>
      <c r="L56" s="176">
        <f t="shared" si="38"/>
        <v>78.59341068174767</v>
      </c>
      <c r="M56" s="176">
        <f t="shared" si="39"/>
        <v>226.13860525118605</v>
      </c>
      <c r="N56" s="176">
        <f t="shared" si="40"/>
        <v>1916.782657757019</v>
      </c>
      <c r="O56" s="176">
        <f t="shared" si="40"/>
        <v>1916.782657757019</v>
      </c>
      <c r="P56" s="176">
        <f t="shared" si="41"/>
        <v>237.22931927370161</v>
      </c>
      <c r="Q56" s="176">
        <f t="shared" si="42"/>
        <v>373.96893311170885</v>
      </c>
      <c r="R56" s="176">
        <f t="shared" si="43"/>
        <v>226.13860525118605</v>
      </c>
      <c r="S56" s="176">
        <f t="shared" si="44"/>
        <v>385.6494474284886</v>
      </c>
    </row>
    <row r="57" spans="1:19" x14ac:dyDescent="0.15">
      <c r="A57" s="144"/>
      <c r="B57" t="s">
        <v>176</v>
      </c>
      <c r="C57" s="176">
        <f t="shared" si="31"/>
        <v>117.57224957854564</v>
      </c>
      <c r="D57" s="176">
        <f t="shared" si="32"/>
        <v>373.96893311170885</v>
      </c>
      <c r="E57" s="176">
        <f t="shared" si="33"/>
        <v>427</v>
      </c>
      <c r="F57" s="176">
        <f t="shared" si="34"/>
        <v>1517.5529913677387</v>
      </c>
      <c r="G57" s="176">
        <f t="shared" si="35"/>
        <v>221.52562039316132</v>
      </c>
      <c r="H57" s="176">
        <f t="shared" si="35"/>
        <v>221.52562039316132</v>
      </c>
      <c r="I57" s="176">
        <f t="shared" si="36"/>
        <v>625.63028490024294</v>
      </c>
      <c r="J57" s="176">
        <f t="shared" si="37"/>
        <v>279.97521360475105</v>
      </c>
      <c r="K57" s="176">
        <f t="shared" si="38"/>
        <v>78.59341068174767</v>
      </c>
      <c r="L57" s="176">
        <f t="shared" si="38"/>
        <v>78.59341068174767</v>
      </c>
      <c r="M57" s="176">
        <f t="shared" si="39"/>
        <v>226.13860525118605</v>
      </c>
      <c r="N57" s="176">
        <f t="shared" si="40"/>
        <v>1916.782657757019</v>
      </c>
      <c r="O57" s="176">
        <f t="shared" si="40"/>
        <v>1916.782657757019</v>
      </c>
      <c r="P57" s="176">
        <f t="shared" si="41"/>
        <v>237.22931927370161</v>
      </c>
      <c r="Q57" s="176">
        <f t="shared" si="42"/>
        <v>373.96893311170885</v>
      </c>
      <c r="R57" s="176">
        <f t="shared" si="43"/>
        <v>226.13860525118605</v>
      </c>
      <c r="S57" s="176">
        <f t="shared" si="44"/>
        <v>385.6494474284886</v>
      </c>
    </row>
    <row r="58" spans="1:19" x14ac:dyDescent="0.15">
      <c r="A58" s="144"/>
      <c r="B58" t="s">
        <v>177</v>
      </c>
      <c r="C58" s="176">
        <f t="shared" si="31"/>
        <v>117.57224957854564</v>
      </c>
      <c r="D58" s="176">
        <f t="shared" si="32"/>
        <v>373.96893311170885</v>
      </c>
      <c r="E58" s="176">
        <f t="shared" si="33"/>
        <v>427</v>
      </c>
      <c r="F58" s="176">
        <f t="shared" si="34"/>
        <v>1517.5529913677387</v>
      </c>
      <c r="G58" s="176">
        <f t="shared" si="35"/>
        <v>221.52562039316132</v>
      </c>
      <c r="H58" s="176">
        <f t="shared" si="35"/>
        <v>221.52562039316132</v>
      </c>
      <c r="I58" s="176">
        <f t="shared" si="36"/>
        <v>625.63028490024294</v>
      </c>
      <c r="J58" s="176">
        <f t="shared" si="37"/>
        <v>279.97521360475105</v>
      </c>
      <c r="K58" s="176">
        <f t="shared" si="38"/>
        <v>78.59341068174767</v>
      </c>
      <c r="L58" s="176">
        <f t="shared" si="38"/>
        <v>78.59341068174767</v>
      </c>
      <c r="M58" s="176">
        <f t="shared" si="39"/>
        <v>226.13860525118605</v>
      </c>
      <c r="N58" s="176">
        <f t="shared" si="40"/>
        <v>1916.782657757019</v>
      </c>
      <c r="O58" s="176">
        <f t="shared" si="40"/>
        <v>1916.782657757019</v>
      </c>
      <c r="P58" s="176">
        <f t="shared" si="41"/>
        <v>237.22931927370161</v>
      </c>
      <c r="Q58" s="176">
        <f t="shared" si="42"/>
        <v>373.96893311170885</v>
      </c>
      <c r="R58" s="176">
        <f t="shared" si="43"/>
        <v>226.13860525118605</v>
      </c>
      <c r="S58" s="176">
        <f t="shared" si="44"/>
        <v>385.6494474284886</v>
      </c>
    </row>
  </sheetData>
  <hyperlinks>
    <hyperlink ref="A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FarmingZones</vt:lpstr>
      <vt:lpstr>FarmingZonesLandCap</vt:lpstr>
      <vt:lpstr>Crops</vt:lpstr>
      <vt:lpstr>Cultures</vt:lpstr>
      <vt:lpstr>ReturnFlows</vt:lpstr>
      <vt:lpstr>FarmTypes</vt:lpstr>
      <vt:lpstr>Yields</vt:lpstr>
      <vt:lpstr>CulCost</vt:lpstr>
      <vt:lpstr>Fields</vt:lpstr>
      <vt:lpstr>GrowthPhases</vt:lpstr>
      <vt:lpstr>PhaseMonth</vt:lpstr>
      <vt:lpstr>CropCoefficient</vt:lpstr>
      <vt:lpstr>GrowthPhases_1</vt:lpstr>
      <vt:lpstr>PhaseMonth_1</vt:lpstr>
      <vt:lpstr>YieldMatrix</vt:lpstr>
      <vt:lpstr>YieldMatrix2</vt:lpstr>
      <vt:lpstr>MaxCultureArea</vt:lpstr>
      <vt:lpstr>WorldBankData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2019-11-02T22:21:20Z</dcterms:modified>
</cp:coreProperties>
</file>