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35" documentId="13_ncr:1_{1D7B4775-6960-42E0-9065-F1A9B5813F77}" xr6:coauthVersionLast="45" xr6:coauthVersionMax="45" xr10:uidLastSave="{14321541-BC7C-4467-A9F2-D6D4027594F3}"/>
  <bookViews>
    <workbookView xWindow="-110" yWindow="-110" windowWidth="25820" windowHeight="14020" firstSheet="1" activeTab="4" xr2:uid="{00000000-000D-0000-FFFF-FFFF00000000}"/>
  </bookViews>
  <sheets>
    <sheet name="Info" sheetId="9" r:id="rId1"/>
    <sheet name="PowerPlant" sheetId="1" r:id="rId2"/>
    <sheet name="PowerPlantCap" sheetId="18" r:id="rId3"/>
    <sheet name="Hydropower" sheetId="2" r:id="rId4"/>
    <sheet name="PowerMarkets" sheetId="12" r:id="rId5"/>
    <sheet name="GenericTechnologies" sheetId="13" r:id="rId6"/>
    <sheet name="GenTechCAPEX" sheetId="17" r:id="rId7"/>
    <sheet name="Fuels" sheetId="3" r:id="rId8"/>
    <sheet name="FuelCO2" sheetId="15" r:id="rId9"/>
    <sheet name="CO2Price" sheetId="16" r:id="rId10"/>
    <sheet name="EnergyDemand" sheetId="4" r:id="rId11"/>
    <sheet name="EnergyValue" sheetId="11" r:id="rId12"/>
    <sheet name="EnergyTransmission" sheetId="5" r:id="rId13"/>
    <sheet name="PowerLoads" sheetId="6" r:id="rId14"/>
    <sheet name="LoadCapacity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8" l="1"/>
  <c r="C68" i="18"/>
  <c r="C65" i="18"/>
  <c r="E41" i="13" l="1"/>
  <c r="F9" i="2" l="1"/>
  <c r="Q35" i="2" l="1"/>
  <c r="P44" i="2"/>
  <c r="M70" i="2"/>
  <c r="L70" i="2"/>
  <c r="M35" i="2"/>
  <c r="L35" i="2"/>
  <c r="M68" i="2"/>
  <c r="M69" i="2"/>
  <c r="L69" i="2"/>
  <c r="L68" i="2"/>
  <c r="M67" i="2"/>
  <c r="M65" i="2"/>
  <c r="L65" i="2"/>
  <c r="M64" i="2"/>
  <c r="L64" i="2"/>
  <c r="M61" i="2"/>
  <c r="L61" i="2"/>
  <c r="L55" i="2"/>
  <c r="M52" i="2"/>
  <c r="L52" i="2"/>
  <c r="M51" i="2"/>
  <c r="L51" i="2"/>
  <c r="G13" i="2"/>
  <c r="F35" i="2"/>
  <c r="E95" i="13" l="1"/>
  <c r="E96" i="13" s="1"/>
  <c r="E97" i="13" s="1"/>
  <c r="E98" i="13" s="1"/>
  <c r="E99" i="13" s="1"/>
  <c r="E100" i="13" s="1"/>
  <c r="E101" i="13" s="1"/>
  <c r="E102" i="13" l="1"/>
  <c r="E103" i="13"/>
  <c r="E50" i="13"/>
  <c r="E51" i="13" s="1"/>
  <c r="E52" i="13" s="1"/>
  <c r="E53" i="13" s="1"/>
  <c r="E54" i="13" s="1"/>
  <c r="E55" i="13" s="1"/>
  <c r="E56" i="13" s="1"/>
  <c r="E58" i="13" l="1"/>
  <c r="E57" i="13"/>
  <c r="E86" i="13"/>
  <c r="E87" i="13" s="1"/>
  <c r="E88" i="13" s="1"/>
  <c r="E89" i="13" s="1"/>
  <c r="E90" i="13" s="1"/>
  <c r="E91" i="13" s="1"/>
  <c r="E92" i="13" s="1"/>
  <c r="M85" i="13"/>
  <c r="M84" i="13"/>
  <c r="M83" i="13"/>
  <c r="M80" i="13"/>
  <c r="M79" i="13"/>
  <c r="M78" i="13"/>
  <c r="D78" i="13"/>
  <c r="D79" i="13" s="1"/>
  <c r="D80" i="13" s="1"/>
  <c r="D81" i="13" s="1"/>
  <c r="D82" i="13" s="1"/>
  <c r="D83" i="13" s="1"/>
  <c r="D84" i="13" s="1"/>
  <c r="D85" i="13" s="1"/>
  <c r="M77" i="13"/>
  <c r="E77" i="13" s="1"/>
  <c r="E78" i="13" s="1"/>
  <c r="E79" i="13" s="1"/>
  <c r="E80" i="13" s="1"/>
  <c r="E81" i="13" s="1"/>
  <c r="E82" i="13" s="1"/>
  <c r="E83" i="13" s="1"/>
  <c r="E84" i="13" s="1"/>
  <c r="E85" i="13" s="1"/>
  <c r="M76" i="13"/>
  <c r="M70" i="13"/>
  <c r="M68" i="13"/>
  <c r="E68" i="13" s="1"/>
  <c r="E76" i="13" s="1"/>
  <c r="E94" i="13" l="1"/>
  <c r="E93" i="13"/>
  <c r="E69" i="13"/>
  <c r="E70" i="13" s="1"/>
  <c r="E71" i="13" s="1"/>
  <c r="E72" i="13" s="1"/>
  <c r="E73" i="13" s="1"/>
  <c r="E74" i="13" s="1"/>
  <c r="E75" i="13" s="1"/>
  <c r="O112" i="14" l="1"/>
  <c r="N112" i="14"/>
  <c r="M112" i="14"/>
  <c r="L112" i="14"/>
  <c r="K112" i="14"/>
  <c r="J112" i="14"/>
  <c r="I112" i="14"/>
  <c r="H112" i="14"/>
  <c r="G112" i="14"/>
  <c r="F112" i="14"/>
  <c r="E112" i="14"/>
  <c r="D112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E101" i="14"/>
  <c r="F101" i="14"/>
  <c r="G101" i="14"/>
  <c r="H101" i="14"/>
  <c r="I101" i="14"/>
  <c r="J101" i="14"/>
  <c r="K101" i="14"/>
  <c r="L101" i="14"/>
  <c r="M101" i="14"/>
  <c r="N101" i="14"/>
  <c r="O101" i="14"/>
  <c r="E102" i="14"/>
  <c r="F102" i="14"/>
  <c r="G102" i="14"/>
  <c r="H102" i="14"/>
  <c r="I102" i="14"/>
  <c r="J102" i="14"/>
  <c r="K102" i="14"/>
  <c r="L102" i="14"/>
  <c r="M102" i="14"/>
  <c r="N102" i="14"/>
  <c r="O102" i="14"/>
  <c r="D102" i="14"/>
  <c r="D101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F86" i="14"/>
  <c r="G86" i="14"/>
  <c r="H86" i="14"/>
  <c r="I86" i="14"/>
  <c r="J86" i="14"/>
  <c r="K86" i="14"/>
  <c r="L86" i="14"/>
  <c r="M86" i="14"/>
  <c r="N86" i="14"/>
  <c r="O86" i="14"/>
  <c r="F87" i="14"/>
  <c r="G87" i="14"/>
  <c r="H87" i="14"/>
  <c r="I87" i="14"/>
  <c r="J87" i="14"/>
  <c r="K87" i="14"/>
  <c r="L87" i="14"/>
  <c r="M87" i="14"/>
  <c r="N87" i="14"/>
  <c r="O87" i="14"/>
  <c r="D87" i="14"/>
  <c r="E87" i="14"/>
  <c r="E86" i="14"/>
  <c r="D86" i="14"/>
  <c r="D24" i="6" l="1"/>
  <c r="D25" i="6"/>
  <c r="D23" i="6"/>
  <c r="D104" i="17" l="1"/>
  <c r="D113" i="17"/>
  <c r="D114" i="17" s="1"/>
  <c r="D115" i="17" s="1"/>
  <c r="D116" i="17" s="1"/>
  <c r="D117" i="17" s="1"/>
  <c r="D118" i="17" s="1"/>
  <c r="D119" i="17" s="1"/>
  <c r="D120" i="17" s="1"/>
  <c r="D121" i="17" s="1"/>
  <c r="D95" i="17"/>
  <c r="D96" i="17" s="1"/>
  <c r="D97" i="17" s="1"/>
  <c r="D98" i="17" s="1"/>
  <c r="D99" i="17" s="1"/>
  <c r="D100" i="17" s="1"/>
  <c r="D101" i="17" s="1"/>
  <c r="D102" i="17" s="1"/>
  <c r="D103" i="17" s="1"/>
  <c r="D77" i="17"/>
  <c r="D78" i="17" s="1"/>
  <c r="D79" i="17" s="1"/>
  <c r="D80" i="17" s="1"/>
  <c r="D81" i="17" s="1"/>
  <c r="D82" i="17" s="1"/>
  <c r="D83" i="17" s="1"/>
  <c r="D84" i="17" s="1"/>
  <c r="D85" i="17" s="1"/>
  <c r="D50" i="17"/>
  <c r="D51" i="17" s="1"/>
  <c r="D52" i="17" s="1"/>
  <c r="D53" i="17" s="1"/>
  <c r="D54" i="17" s="1"/>
  <c r="D55" i="17" s="1"/>
  <c r="D56" i="17" s="1"/>
  <c r="D57" i="17" s="1"/>
  <c r="D58" i="17" s="1"/>
  <c r="D34" i="6"/>
  <c r="D33" i="6"/>
  <c r="D32" i="6"/>
  <c r="D31" i="6"/>
  <c r="D28" i="6"/>
  <c r="D29" i="6"/>
  <c r="D30" i="6"/>
  <c r="D27" i="6"/>
  <c r="E13" i="14"/>
  <c r="B13" i="14"/>
  <c r="E15" i="6"/>
  <c r="B15" i="6"/>
  <c r="D8" i="6"/>
  <c r="D9" i="6"/>
  <c r="D7" i="6"/>
  <c r="I10" i="4"/>
  <c r="M7" i="4"/>
  <c r="E8" i="6" l="1"/>
  <c r="C24" i="6"/>
  <c r="C31" i="6"/>
  <c r="C32" i="6"/>
  <c r="E7" i="6"/>
  <c r="E9" i="6"/>
  <c r="C23" i="6" l="1"/>
  <c r="C30" i="6"/>
  <c r="C29" i="6"/>
  <c r="C27" i="6"/>
  <c r="C28" i="6"/>
  <c r="C25" i="6"/>
  <c r="C34" i="6"/>
  <c r="C33" i="6"/>
  <c r="K24" i="4"/>
  <c r="K25" i="4"/>
  <c r="K26" i="4"/>
  <c r="K27" i="4"/>
  <c r="K28" i="4"/>
  <c r="K29" i="4"/>
  <c r="K30" i="4"/>
  <c r="K31" i="4"/>
  <c r="K32" i="4"/>
  <c r="K33" i="4"/>
  <c r="K34" i="4"/>
  <c r="L28" i="2" l="1"/>
  <c r="M34" i="2" l="1"/>
  <c r="M33" i="2"/>
  <c r="L34" i="2"/>
  <c r="L33" i="2"/>
  <c r="O9" i="2"/>
  <c r="F34" i="2"/>
  <c r="F33" i="2"/>
  <c r="K12" i="2"/>
  <c r="N7" i="2"/>
  <c r="M43" i="2" l="1"/>
  <c r="L43" i="2"/>
  <c r="M49" i="2" l="1"/>
  <c r="L46" i="2" l="1"/>
  <c r="M46" i="2"/>
  <c r="M47" i="2"/>
  <c r="L47" i="2"/>
  <c r="F13" i="2" l="1"/>
  <c r="L25" i="2"/>
  <c r="M25" i="2"/>
  <c r="M24" i="2"/>
  <c r="L24" i="2"/>
  <c r="I7" i="13" l="1"/>
  <c r="D105" i="17"/>
  <c r="D106" i="17" s="1"/>
  <c r="D107" i="17" s="1"/>
  <c r="D108" i="17" s="1"/>
  <c r="D109" i="17" s="1"/>
  <c r="D110" i="17" s="1"/>
  <c r="D111" i="17" s="1"/>
  <c r="D112" i="17" s="1"/>
  <c r="D86" i="17"/>
  <c r="D87" i="17" s="1"/>
  <c r="D88" i="17" s="1"/>
  <c r="D89" i="17" s="1"/>
  <c r="D90" i="17" s="1"/>
  <c r="D91" i="17" s="1"/>
  <c r="D92" i="17" s="1"/>
  <c r="D93" i="17" s="1"/>
  <c r="D94" i="17" s="1"/>
  <c r="D68" i="17"/>
  <c r="D41" i="17"/>
  <c r="D42" i="17" s="1"/>
  <c r="D43" i="17" s="1"/>
  <c r="D44" i="17" s="1"/>
  <c r="D45" i="17" s="1"/>
  <c r="D46" i="17" s="1"/>
  <c r="D47" i="17" s="1"/>
  <c r="D48" i="17" s="1"/>
  <c r="D49" i="17" s="1"/>
  <c r="D32" i="17"/>
  <c r="D33" i="17" s="1"/>
  <c r="D34" i="17" s="1"/>
  <c r="D35" i="17" s="1"/>
  <c r="D23" i="17"/>
  <c r="D24" i="17" s="1"/>
  <c r="D25" i="17" s="1"/>
  <c r="D26" i="17" s="1"/>
  <c r="D69" i="17" l="1"/>
  <c r="D70" i="17" s="1"/>
  <c r="D71" i="17" s="1"/>
  <c r="D72" i="17" s="1"/>
  <c r="D73" i="17" s="1"/>
  <c r="D74" i="17" s="1"/>
  <c r="D75" i="17" s="1"/>
  <c r="D76" i="17" s="1"/>
  <c r="D27" i="17"/>
  <c r="D28" i="17" s="1"/>
  <c r="D29" i="17" s="1"/>
  <c r="D30" i="17" s="1"/>
  <c r="D31" i="17" s="1"/>
  <c r="D36" i="17"/>
  <c r="D37" i="17" s="1"/>
  <c r="D38" i="17" s="1"/>
  <c r="D39" i="17" s="1"/>
  <c r="D40" i="17" s="1"/>
  <c r="E42" i="13"/>
  <c r="Q34" i="2"/>
  <c r="Q33" i="2"/>
  <c r="P46" i="2"/>
  <c r="Q41" i="2"/>
  <c r="Q42" i="2"/>
  <c r="Q43" i="2"/>
  <c r="Q44" i="2"/>
  <c r="Q45" i="2"/>
  <c r="Q46" i="2"/>
  <c r="Q47" i="2"/>
  <c r="Q48" i="2"/>
  <c r="Q49" i="2"/>
  <c r="Q40" i="2"/>
  <c r="P34" i="2"/>
  <c r="P33" i="2"/>
  <c r="P35" i="2"/>
  <c r="P41" i="2"/>
  <c r="P42" i="2"/>
  <c r="P43" i="2"/>
  <c r="P45" i="2"/>
  <c r="P47" i="2"/>
  <c r="P48" i="2"/>
  <c r="P49" i="2"/>
  <c r="P40" i="2"/>
  <c r="D116" i="5" l="1"/>
  <c r="D115" i="5"/>
  <c r="F67" i="2"/>
  <c r="F69" i="2"/>
  <c r="F68" i="2"/>
  <c r="F66" i="2"/>
  <c r="F65" i="2"/>
  <c r="F64" i="2"/>
  <c r="F63" i="2"/>
  <c r="F62" i="2"/>
  <c r="F61" i="2"/>
  <c r="F60" i="2"/>
  <c r="F59" i="2"/>
  <c r="F58" i="2"/>
  <c r="K9" i="13" l="1"/>
  <c r="B13" i="12"/>
  <c r="B11" i="15" l="1"/>
  <c r="J17" i="2" l="1"/>
  <c r="P11" i="2"/>
  <c r="P13" i="2" s="1"/>
  <c r="H13" i="2"/>
  <c r="I13" i="2"/>
  <c r="J13" i="2"/>
  <c r="K13" i="2" s="1"/>
  <c r="K11" i="2" s="1"/>
  <c r="N13" i="2"/>
  <c r="O13" i="2"/>
  <c r="P9" i="2"/>
  <c r="K10" i="13"/>
  <c r="J10" i="13"/>
  <c r="I10" i="13"/>
  <c r="J9" i="13"/>
  <c r="I9" i="13"/>
  <c r="K23" i="4" l="1"/>
  <c r="K20" i="4" l="1"/>
  <c r="D12" i="3"/>
  <c r="B25" i="15"/>
  <c r="B26" i="15"/>
  <c r="B14" i="15"/>
  <c r="B24" i="15" s="1"/>
  <c r="B23" i="15"/>
  <c r="K7" i="13"/>
  <c r="B12" i="15" l="1"/>
  <c r="B15" i="15"/>
  <c r="D33" i="13"/>
  <c r="D34" i="13" s="1"/>
  <c r="D35" i="13" s="1"/>
  <c r="D36" i="13" s="1"/>
  <c r="D37" i="13" s="1"/>
  <c r="D38" i="13" s="1"/>
  <c r="D39" i="13" s="1"/>
  <c r="D40" i="13" s="1"/>
  <c r="E43" i="13" l="1"/>
  <c r="E44" i="13" s="1"/>
  <c r="K8" i="13"/>
  <c r="K11" i="13" s="1"/>
  <c r="J7" i="13"/>
  <c r="E17" i="2"/>
  <c r="E45" i="13" l="1"/>
  <c r="E46" i="13" s="1"/>
  <c r="E47" i="13" s="1"/>
  <c r="J16" i="4"/>
  <c r="J15" i="4"/>
  <c r="J14" i="4"/>
  <c r="J12" i="4"/>
  <c r="J10" i="4"/>
  <c r="J9" i="4"/>
  <c r="J8" i="4"/>
  <c r="J7" i="4"/>
  <c r="E49" i="13" l="1"/>
  <c r="E48" i="13"/>
  <c r="I9" i="2"/>
  <c r="H9" i="2"/>
  <c r="G9" i="2" l="1"/>
  <c r="M40" i="13" l="1"/>
  <c r="M39" i="13"/>
  <c r="M38" i="13"/>
  <c r="M32" i="13"/>
  <c r="M33" i="13"/>
  <c r="M34" i="13"/>
  <c r="M35" i="13"/>
  <c r="M23" i="13"/>
  <c r="E23" i="13" s="1"/>
  <c r="M31" i="13"/>
  <c r="M25" i="13"/>
  <c r="E32" i="13" l="1"/>
  <c r="E33" i="13" s="1"/>
  <c r="E34" i="13" s="1"/>
  <c r="E35" i="13" s="1"/>
  <c r="E36" i="13" l="1"/>
  <c r="E37" i="13" s="1"/>
  <c r="E38" i="13" s="1"/>
  <c r="E39" i="13" s="1"/>
  <c r="E40" i="13" s="1"/>
  <c r="J8" i="13"/>
  <c r="J11" i="13" s="1"/>
  <c r="E31" i="13"/>
  <c r="E24" i="13"/>
  <c r="E25" i="13" s="1"/>
  <c r="E26" i="13" s="1"/>
  <c r="E27" i="13" l="1"/>
  <c r="E28" i="13" s="1"/>
  <c r="I8" i="13"/>
  <c r="I11" i="13" s="1"/>
  <c r="M14" i="4"/>
  <c r="O14" i="4" s="1"/>
  <c r="M16" i="4"/>
  <c r="O16" i="4" s="1"/>
  <c r="M15" i="4"/>
  <c r="O15" i="4" s="1"/>
  <c r="M12" i="4"/>
  <c r="O12" i="4" s="1"/>
  <c r="M11" i="4"/>
  <c r="O11" i="4" s="1"/>
  <c r="M9" i="4"/>
  <c r="O9" i="4" s="1"/>
  <c r="M8" i="4"/>
  <c r="O8" i="4" s="1"/>
  <c r="O7" i="4"/>
  <c r="M10" i="4"/>
  <c r="O10" i="4" s="1"/>
  <c r="M13" i="4"/>
  <c r="E29" i="13" l="1"/>
  <c r="E30" i="13" s="1"/>
  <c r="I8" i="4"/>
  <c r="K8" i="4" s="1"/>
  <c r="I9" i="4"/>
  <c r="K9" i="4" s="1"/>
  <c r="K10" i="4"/>
  <c r="I11" i="4"/>
  <c r="K11" i="4" s="1"/>
  <c r="I12" i="4"/>
  <c r="K12" i="4" s="1"/>
  <c r="I13" i="4"/>
  <c r="I14" i="4"/>
  <c r="K14" i="4" s="1"/>
  <c r="I15" i="4"/>
  <c r="K15" i="4" s="1"/>
  <c r="I16" i="4"/>
  <c r="K16" i="4" s="1"/>
  <c r="I7" i="4"/>
  <c r="K7" i="4" s="1"/>
  <c r="J34" i="4"/>
  <c r="I34" i="4"/>
  <c r="H34" i="4"/>
  <c r="G34" i="4"/>
  <c r="F34" i="4"/>
  <c r="E34" i="4"/>
  <c r="D34" i="4"/>
  <c r="C34" i="4"/>
  <c r="J33" i="4"/>
  <c r="I33" i="4"/>
  <c r="H33" i="4"/>
  <c r="G33" i="4"/>
  <c r="F33" i="4"/>
  <c r="E33" i="4"/>
  <c r="D33" i="4"/>
  <c r="C33" i="4"/>
  <c r="J32" i="4"/>
  <c r="I32" i="4"/>
  <c r="H32" i="4"/>
  <c r="G32" i="4"/>
  <c r="F32" i="4"/>
  <c r="E32" i="4"/>
  <c r="D32" i="4"/>
  <c r="C32" i="4"/>
  <c r="J31" i="4"/>
  <c r="I31" i="4"/>
  <c r="H31" i="4"/>
  <c r="G31" i="4"/>
  <c r="F31" i="4"/>
  <c r="E31" i="4"/>
  <c r="D31" i="4"/>
  <c r="C31" i="4"/>
  <c r="J30" i="4"/>
  <c r="I30" i="4"/>
  <c r="H30" i="4"/>
  <c r="G30" i="4"/>
  <c r="F30" i="4"/>
  <c r="E30" i="4"/>
  <c r="D30" i="4"/>
  <c r="C30" i="4"/>
  <c r="J29" i="4"/>
  <c r="I29" i="4"/>
  <c r="H29" i="4"/>
  <c r="G29" i="4"/>
  <c r="F29" i="4"/>
  <c r="E29" i="4"/>
  <c r="D29" i="4"/>
  <c r="C29" i="4"/>
  <c r="J28" i="4"/>
  <c r="I28" i="4"/>
  <c r="H28" i="4"/>
  <c r="G28" i="4"/>
  <c r="F28" i="4"/>
  <c r="E28" i="4"/>
  <c r="D28" i="4"/>
  <c r="C28" i="4"/>
  <c r="J27" i="4"/>
  <c r="I27" i="4"/>
  <c r="H27" i="4"/>
  <c r="G27" i="4"/>
  <c r="F27" i="4"/>
  <c r="E27" i="4"/>
  <c r="D27" i="4"/>
  <c r="C27" i="4"/>
  <c r="J26" i="4"/>
  <c r="I26" i="4"/>
  <c r="H26" i="4"/>
  <c r="G26" i="4"/>
  <c r="F26" i="4"/>
  <c r="E26" i="4"/>
  <c r="D26" i="4"/>
  <c r="C26" i="4"/>
  <c r="J25" i="4"/>
  <c r="I25" i="4"/>
  <c r="H25" i="4"/>
  <c r="G25" i="4"/>
  <c r="F25" i="4"/>
  <c r="E25" i="4"/>
  <c r="D25" i="4"/>
  <c r="C25" i="4"/>
  <c r="J24" i="4"/>
  <c r="I24" i="4"/>
  <c r="H24" i="4"/>
  <c r="G24" i="4"/>
  <c r="F24" i="4"/>
  <c r="E24" i="4"/>
  <c r="D24" i="4"/>
  <c r="C24" i="4"/>
  <c r="J23" i="4"/>
  <c r="I23" i="4"/>
  <c r="H23" i="4"/>
  <c r="G23" i="4"/>
  <c r="F23" i="4"/>
  <c r="E23" i="4"/>
  <c r="D23" i="4"/>
  <c r="C23" i="4"/>
  <c r="D20" i="4" l="1"/>
  <c r="I20" i="4"/>
  <c r="H20" i="4"/>
  <c r="G20" i="4"/>
  <c r="E20" i="4"/>
  <c r="F20" i="4"/>
  <c r="J20" i="4"/>
  <c r="C20" i="4"/>
  <c r="D36" i="5" l="1"/>
  <c r="D35" i="5"/>
  <c r="K9" i="2" l="1"/>
  <c r="J9" i="2"/>
</calcChain>
</file>

<file path=xl/sharedStrings.xml><?xml version="1.0" encoding="utf-8"?>
<sst xmlns="http://schemas.openxmlformats.org/spreadsheetml/2006/main" count="2074" uniqueCount="563">
  <si>
    <t>nhpp</t>
  </si>
  <si>
    <t>kWh/m³</t>
  </si>
  <si>
    <t>id</t>
  </si>
  <si>
    <t>units:</t>
  </si>
  <si>
    <t>comment:</t>
  </si>
  <si>
    <t>Description of hydropower plants</t>
  </si>
  <si>
    <t>$/kWh</t>
  </si>
  <si>
    <t>PowerPlants</t>
  </si>
  <si>
    <t>Description of power plants</t>
  </si>
  <si>
    <t>Fuels</t>
  </si>
  <si>
    <t>Description of fuels</t>
  </si>
  <si>
    <t>nfuel</t>
  </si>
  <si>
    <t>Description of power transmition</t>
  </si>
  <si>
    <t>%</t>
  </si>
  <si>
    <t>nmonth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</si>
  <si>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</si>
  <si>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</si>
  <si>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</si>
  <si>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</si>
  <si>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</si>
  <si>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</si>
  <si>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</si>
  <si>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</si>
  <si>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</si>
  <si>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</si>
  <si>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#Power Plants</t>
  </si>
  <si>
    <t>#Region of PP</t>
  </si>
  <si>
    <t>#Production capacity</t>
  </si>
  <si>
    <t xml:space="preserve">#Operational production cost </t>
  </si>
  <si>
    <t xml:space="preserve">#Efficiency </t>
  </si>
  <si>
    <t>#HydroPower Plants</t>
  </si>
  <si>
    <t>#Capacity of HP turbines</t>
  </si>
  <si>
    <t>#Reservoir of HP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</si>
  <si>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</si>
  <si>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</si>
  <si>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</si>
  <si>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</si>
  <si>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</si>
  <si>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</si>
  <si>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</si>
  <si>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</si>
  <si>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</si>
  <si>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#Production factor: energy produced per water flow through HP</t>
  </si>
  <si>
    <t>#Catchment of run off the river hpp</t>
  </si>
  <si>
    <t>ROR</t>
  </si>
  <si>
    <t>hp_catch</t>
  </si>
  <si>
    <t>hp_res</t>
  </si>
  <si>
    <t>#Transmission losses</t>
  </si>
  <si>
    <t>#Transmission costs</t>
  </si>
  <si>
    <t>EnergyDemand</t>
  </si>
  <si>
    <t>EnergyTransmission</t>
  </si>
  <si>
    <t>eOppEff</t>
  </si>
  <si>
    <t>eOppCap</t>
  </si>
  <si>
    <t>eHppCap</t>
  </si>
  <si>
    <t>Hydropower plants</t>
  </si>
  <si>
    <t>#Energy curtailment cost / marginal value</t>
  </si>
  <si>
    <t>Update</t>
  </si>
  <si>
    <t>HpTedzani</t>
  </si>
  <si>
    <t>HpKapichira</t>
  </si>
  <si>
    <t>PmMozambique</t>
  </si>
  <si>
    <t>ReCahora</t>
  </si>
  <si>
    <t>HpCahora</t>
  </si>
  <si>
    <t>HpNkula</t>
  </si>
  <si>
    <t>HpVictoria</t>
  </si>
  <si>
    <t>Kariba</t>
  </si>
  <si>
    <t>PmAngola</t>
  </si>
  <si>
    <t>PmBotswana</t>
  </si>
  <si>
    <t>PmMalawi</t>
  </si>
  <si>
    <t>PmNamibia</t>
  </si>
  <si>
    <t>PmTanzania</t>
  </si>
  <si>
    <t>PmZimbabwe</t>
  </si>
  <si>
    <t>kafue</t>
  </si>
  <si>
    <t>cahora bassa</t>
  </si>
  <si>
    <t>nkula</t>
  </si>
  <si>
    <t>tedzani</t>
  </si>
  <si>
    <t>kapichira</t>
  </si>
  <si>
    <t>OppESKOM</t>
  </si>
  <si>
    <t>PmSouthAfrica</t>
  </si>
  <si>
    <t>OppBPC</t>
  </si>
  <si>
    <t>OppEdM</t>
  </si>
  <si>
    <t>OppENE</t>
  </si>
  <si>
    <t>OppESCOM</t>
  </si>
  <si>
    <t>Source:</t>
  </si>
  <si>
    <t>OppNamPower</t>
  </si>
  <si>
    <t>OppTANESCO</t>
  </si>
  <si>
    <t>OppZESA</t>
  </si>
  <si>
    <t>PmZambia</t>
  </si>
  <si>
    <t>npmarket</t>
  </si>
  <si>
    <t>hp_pmarket</t>
  </si>
  <si>
    <t>nopp</t>
  </si>
  <si>
    <t>#Transmission lines</t>
  </si>
  <si>
    <t>#</t>
  </si>
  <si>
    <t>TlSafBot</t>
  </si>
  <si>
    <t>TlBotSaf</t>
  </si>
  <si>
    <t>TlBotZim</t>
  </si>
  <si>
    <t>TlZimBot</t>
  </si>
  <si>
    <t>TlSafMoz</t>
  </si>
  <si>
    <t>TlMozSaf</t>
  </si>
  <si>
    <t>TlSafNam</t>
  </si>
  <si>
    <t>TlNamSaf</t>
  </si>
  <si>
    <t>TlZamZim</t>
  </si>
  <si>
    <t>TlZimZam</t>
  </si>
  <si>
    <t>TlZimMoz</t>
  </si>
  <si>
    <t>TlMozZim</t>
  </si>
  <si>
    <t>MW</t>
  </si>
  <si>
    <t>PowerLoads</t>
  </si>
  <si>
    <t>npload</t>
  </si>
  <si>
    <t>oct</t>
  </si>
  <si>
    <t>dec</t>
  </si>
  <si>
    <t>may</t>
  </si>
  <si>
    <t>http://www.sapp.co.zw/transfer-limits</t>
  </si>
  <si>
    <t>#Market energy demand</t>
  </si>
  <si>
    <t>CahoraBassa</t>
  </si>
  <si>
    <t>KafueGorgeUp</t>
  </si>
  <si>
    <t>#Power market of hydropower turbine</t>
  </si>
  <si>
    <t>HpKafueGorgeUp</t>
  </si>
  <si>
    <t>ReKafueGorgeUp</t>
  </si>
  <si>
    <t>Songwe</t>
  </si>
  <si>
    <t>iHpKapichira2</t>
  </si>
  <si>
    <t>iHpSongwe</t>
  </si>
  <si>
    <t>iHpHCB</t>
  </si>
  <si>
    <t>iHpMphandaNkuwa</t>
  </si>
  <si>
    <t>iHpRumakali</t>
  </si>
  <si>
    <t>iHpBatokaGorgeN</t>
  </si>
  <si>
    <t>iHpBatokaGorgeS</t>
  </si>
  <si>
    <t>iHpKafueGorgeLow</t>
  </si>
  <si>
    <t>HpKaribaS</t>
  </si>
  <si>
    <t>HpKaribaN</t>
  </si>
  <si>
    <t>SOURCES</t>
  </si>
  <si>
    <t>eHppCap: Convert turbine capacity (m³/s) to kWh/day using peak power</t>
  </si>
  <si>
    <t>EXTRA CALCULATIONS/DATA</t>
  </si>
  <si>
    <t>karibaNEW</t>
  </si>
  <si>
    <t>iHpItezhiTezhi</t>
  </si>
  <si>
    <t>BatokaGorge</t>
  </si>
  <si>
    <t>iReBatokaGorge</t>
  </si>
  <si>
    <t>ItezhiTezhi</t>
  </si>
  <si>
    <t>KafueUp</t>
  </si>
  <si>
    <t>HCBCahora</t>
  </si>
  <si>
    <t>MphandaNkuwa</t>
  </si>
  <si>
    <t>iReMphandaNkuwa</t>
  </si>
  <si>
    <t>iReRumakali</t>
  </si>
  <si>
    <t>Rumakali</t>
  </si>
  <si>
    <t>iReSongwe</t>
  </si>
  <si>
    <t>SongweI</t>
  </si>
  <si>
    <t>SongweII</t>
  </si>
  <si>
    <t>SongweIII</t>
  </si>
  <si>
    <t>iHpKholombidzo</t>
  </si>
  <si>
    <t>iReKholombidzo</t>
  </si>
  <si>
    <t>iReKafueGorgeLow</t>
  </si>
  <si>
    <t>KafueGorgeLow</t>
  </si>
  <si>
    <t>Kholombidzo</t>
  </si>
  <si>
    <t>Kapichira II</t>
  </si>
  <si>
    <t>eHppEff</t>
  </si>
  <si>
    <t>TlZamNam</t>
  </si>
  <si>
    <t>TlNamZam</t>
  </si>
  <si>
    <t>OppNamPowerHydro</t>
  </si>
  <si>
    <t>OppENEHydro</t>
  </si>
  <si>
    <t>OppTANESCOHydro</t>
  </si>
  <si>
    <t>base</t>
  </si>
  <si>
    <t>hpdev</t>
  </si>
  <si>
    <t>Hydropower</t>
  </si>
  <si>
    <t>Scenario</t>
  </si>
  <si>
    <t>ReItezhiTezhi</t>
  </si>
  <si>
    <t>HpVictoria: eHppPrd no SOURCE</t>
  </si>
  <si>
    <t>OnlyCols</t>
  </si>
  <si>
    <t>EnergyValue</t>
  </si>
  <si>
    <t>kWh/month</t>
  </si>
  <si>
    <t>BPC</t>
  </si>
  <si>
    <t>EDM</t>
  </si>
  <si>
    <t>ESCOM</t>
  </si>
  <si>
    <t>ESKOM</t>
  </si>
  <si>
    <t>NAMPOWER</t>
  </si>
  <si>
    <t>SNEL</t>
  </si>
  <si>
    <t>TANESCO</t>
  </si>
  <si>
    <t>ZESA</t>
  </si>
  <si>
    <t>ZESCO</t>
  </si>
  <si>
    <t>botswana</t>
  </si>
  <si>
    <t>mozambique</t>
  </si>
  <si>
    <t>malawi</t>
  </si>
  <si>
    <t>angola</t>
  </si>
  <si>
    <t>SA</t>
  </si>
  <si>
    <t>namibia</t>
  </si>
  <si>
    <t>tanzania</t>
  </si>
  <si>
    <t>zimbabwe</t>
  </si>
  <si>
    <t>zambia</t>
  </si>
  <si>
    <t>GWh/month</t>
  </si>
  <si>
    <t>GWh/y</t>
  </si>
  <si>
    <t>SAPP report 2015 p2</t>
  </si>
  <si>
    <t>eEngyDem</t>
  </si>
  <si>
    <t>eEngyVal</t>
  </si>
  <si>
    <t>eOppCost</t>
  </si>
  <si>
    <t>eHppProd</t>
  </si>
  <si>
    <t>eHppCost</t>
  </si>
  <si>
    <t>eFuelCost</t>
  </si>
  <si>
    <t>ntransline</t>
  </si>
  <si>
    <t>eTransIn</t>
  </si>
  <si>
    <t>eTransOut</t>
  </si>
  <si>
    <t>eTransCap</t>
  </si>
  <si>
    <t>eTransLoss</t>
  </si>
  <si>
    <t>eTransCost</t>
  </si>
  <si>
    <t>eLoadTime</t>
  </si>
  <si>
    <t>op_pmarket</t>
  </si>
  <si>
    <t>op_fuel</t>
  </si>
  <si>
    <t>Hard coded: "ROR" is the keyword for Run-Off-River hydropower plant</t>
  </si>
  <si>
    <t>eHppVal</t>
  </si>
  <si>
    <t>#Value of power production, only active if energy market is off</t>
  </si>
  <si>
    <t>hp_country</t>
  </si>
  <si>
    <t>Mozambique</t>
  </si>
  <si>
    <t>Zambia</t>
  </si>
  <si>
    <t>Zimbabwe</t>
  </si>
  <si>
    <t>Malawi</t>
  </si>
  <si>
    <t>#Country of Hp if market module is off</t>
  </si>
  <si>
    <t>SouthAfrica</t>
  </si>
  <si>
    <t>Tanzania</t>
  </si>
  <si>
    <t>Namibia</t>
  </si>
  <si>
    <t>Botswana</t>
  </si>
  <si>
    <t>Angola</t>
  </si>
  <si>
    <t>pmarket_country</t>
  </si>
  <si>
    <t>Power markets</t>
  </si>
  <si>
    <t>PowerMarkets</t>
  </si>
  <si>
    <t>LowerShire</t>
  </si>
  <si>
    <t>nPOWERTRANS</t>
  </si>
  <si>
    <t>dev</t>
  </si>
  <si>
    <t>TlMozMal</t>
  </si>
  <si>
    <t>TlMalMoz</t>
  </si>
  <si>
    <t>TlTazZam</t>
  </si>
  <si>
    <t>TlZamTaz</t>
  </si>
  <si>
    <t>TlNamAng</t>
  </si>
  <si>
    <t>TlAngNam</t>
  </si>
  <si>
    <t>Demand peak</t>
  </si>
  <si>
    <t>Demand total</t>
  </si>
  <si>
    <t>SAPP report 2010</t>
  </si>
  <si>
    <t>peak</t>
  </si>
  <si>
    <t>$/KWh</t>
  </si>
  <si>
    <t>#Unit cost of additional power capacity</t>
  </si>
  <si>
    <t>CapacityCost</t>
  </si>
  <si>
    <t>unlimited</t>
  </si>
  <si>
    <t>irena</t>
  </si>
  <si>
    <t>TlSafZim</t>
  </si>
  <si>
    <t>TlZimSaf</t>
  </si>
  <si>
    <t>Supercritical coal</t>
  </si>
  <si>
    <t>Efficiency</t>
  </si>
  <si>
    <t>Construction</t>
  </si>
  <si>
    <t>Load Factor</t>
  </si>
  <si>
    <t>O&amp;M Costs</t>
  </si>
  <si>
    <t>Duration Life</t>
  </si>
  <si>
    <t>Nuclear (Pressurised Water Reactor)</t>
  </si>
  <si>
    <t>Heavy Fuel Oil</t>
  </si>
  <si>
    <t>Solar PV (roof top)</t>
  </si>
  <si>
    <t>kWh</t>
  </si>
  <si>
    <t>$/kW</t>
  </si>
  <si>
    <t>$/Gj</t>
  </si>
  <si>
    <t>nptech</t>
  </si>
  <si>
    <t>ntechscenario</t>
  </si>
  <si>
    <t>eCAPEX</t>
  </si>
  <si>
    <t>eVarOPEX</t>
  </si>
  <si>
    <t>Coal</t>
  </si>
  <si>
    <t>#Lifetime</t>
  </si>
  <si>
    <t>eLifeTime</t>
  </si>
  <si>
    <t>years</t>
  </si>
  <si>
    <t>eFixOPEX</t>
  </si>
  <si>
    <t>FixedCost</t>
  </si>
  <si>
    <t>$/kW/year</t>
  </si>
  <si>
    <t>#Limit maximum additional capacity investment</t>
  </si>
  <si>
    <t>op_ptech</t>
  </si>
  <si>
    <t>Solar</t>
  </si>
  <si>
    <t>Hydro</t>
  </si>
  <si>
    <t>eMaxCap</t>
  </si>
  <si>
    <t>eTechEff</t>
  </si>
  <si>
    <t>Gas</t>
  </si>
  <si>
    <t>Fuel Costs (eFuelCost)</t>
  </si>
  <si>
    <t>CoalPP</t>
  </si>
  <si>
    <t>Water</t>
  </si>
  <si>
    <t>$/kWh-fuel</t>
  </si>
  <si>
    <t>15$/MWh</t>
  </si>
  <si>
    <t>OCGT</t>
  </si>
  <si>
    <t>20$/MWh</t>
  </si>
  <si>
    <t>Import</t>
  </si>
  <si>
    <t>Domestic</t>
  </si>
  <si>
    <t>kJ =</t>
  </si>
  <si>
    <t>$/Gj =</t>
  </si>
  <si>
    <t>6$/MWh</t>
  </si>
  <si>
    <t>ptech_fuel</t>
  </si>
  <si>
    <t>LoadCapacity</t>
  </si>
  <si>
    <t>eLoadCap</t>
  </si>
  <si>
    <t>#Efficiency of technology (if "Fuels" is ON)</t>
  </si>
  <si>
    <t>Load segment capacity (eLoadCap)</t>
  </si>
  <si>
    <t>#Fuel of technology (if "Fuels" is ON)</t>
  </si>
  <si>
    <t>#Fix yearly operational costs</t>
  </si>
  <si>
    <t>#Percentage of capacity available during load segment (%)</t>
  </si>
  <si>
    <t>eTechRamp</t>
  </si>
  <si>
    <t>%Full capacity/load segment</t>
  </si>
  <si>
    <t>#Fuel of power plant</t>
  </si>
  <si>
    <t>#Power technology</t>
  </si>
  <si>
    <t>#Ramping rate</t>
  </si>
  <si>
    <t>eOppRamp</t>
  </si>
  <si>
    <t>GasPP</t>
  </si>
  <si>
    <t>ReKariba</t>
  </si>
  <si>
    <t>CAPEX ($/kWh)</t>
  </si>
  <si>
    <t>FIXOPEX</t>
  </si>
  <si>
    <t>Fuel</t>
  </si>
  <si>
    <t>Tot</t>
  </si>
  <si>
    <t>coal</t>
  </si>
  <si>
    <t>gas</t>
  </si>
  <si>
    <t>vObservedProd</t>
  </si>
  <si>
    <t>Growth rate</t>
  </si>
  <si>
    <t>%/year</t>
  </si>
  <si>
    <t>VAROPEX</t>
  </si>
  <si>
    <t>SolarPV</t>
  </si>
  <si>
    <t>solar</t>
  </si>
  <si>
    <t>eLoadDem</t>
  </si>
  <si>
    <t>eFuelCO2</t>
  </si>
  <si>
    <t>1 kJ</t>
  </si>
  <si>
    <t>t/TJ</t>
  </si>
  <si>
    <t>t/MWh fuel</t>
  </si>
  <si>
    <t>t/MWh-energy</t>
  </si>
  <si>
    <t>CO2 price</t>
  </si>
  <si>
    <t>nCO2Pricescen</t>
  </si>
  <si>
    <t>eCO2Val</t>
  </si>
  <si>
    <t xml:space="preserve"> $/t</t>
  </si>
  <si>
    <t>$/t</t>
  </si>
  <si>
    <t>https://www.rvo.nl/sites/default/files/2013/10/Vreuls%202005%20NL%20Energiedragerlijst%20-%20Update.pdf</t>
  </si>
  <si>
    <t>https://www.ipcc-nggip.iges.or.jp/EFDB/find_ef.php</t>
  </si>
  <si>
    <t>carbon50</t>
  </si>
  <si>
    <t>carbon12</t>
  </si>
  <si>
    <t>CO2Price</t>
  </si>
  <si>
    <t>FuelCO2</t>
  </si>
  <si>
    <t>https://www.ipcc.ch/meetings/session25/doc4a4b/vol2.pdf</t>
  </si>
  <si>
    <t>vElecTarif</t>
  </si>
  <si>
    <t>REM: Hydropowers not part of the Zambezi are modellled as power plants</t>
  </si>
  <si>
    <t>hard coded: "unlimited" key-word for unlimited capacity investment</t>
  </si>
  <si>
    <t>REM: the solar 500 and solar 1500 are the same as the future2030</t>
  </si>
  <si>
    <t>#Power market</t>
  </si>
  <si>
    <t>Description of power technologies (e.g. solar, gas, coal, nuclear …), representing a capacity expansion model</t>
  </si>
  <si>
    <t>#Variable (=marginal) operational costs</t>
  </si>
  <si>
    <t>REM: average value per technology is used for all power markets</t>
  </si>
  <si>
    <t>CAPEX: IRENA report p26-27</t>
  </si>
  <si>
    <t>efficiency</t>
  </si>
  <si>
    <t>Power plants: World bank (2010), Volume 3, p63</t>
  </si>
  <si>
    <t>IRENA p69</t>
  </si>
  <si>
    <t>Parameter used in World Bank (2010): vol 4, p32-33 footnotes</t>
  </si>
  <si>
    <t>eOppCost: IRENA (2013) p69</t>
  </si>
  <si>
    <t>REM: All power plants projects (thermal, renewable and hydro) in IRENA (2013) p67</t>
  </si>
  <si>
    <t>South Africa is represented like the other countries</t>
  </si>
  <si>
    <t>-</t>
  </si>
  <si>
    <t>REM: Ramping is not considered in the Zambezi study</t>
  </si>
  <si>
    <t>eHppCost: Irena report p 69 Table 22, average 6$/MWh OetM</t>
  </si>
  <si>
    <t>eHppProd: Using turbine capacity (m³/s) and peak power (MW)</t>
  </si>
  <si>
    <t>World bank (2010) vol 3, from p65</t>
  </si>
  <si>
    <t>Alternative: IRENA (2013) p64: observed prod of all hydropowers</t>
  </si>
  <si>
    <t>Investment costs of Hydropower projects: IRENA (2013) p66</t>
  </si>
  <si>
    <t>Turbine capacity (m³/s)</t>
  </si>
  <si>
    <t>Peak power (MW)</t>
  </si>
  <si>
    <t>eHppProd (kwh/m³)</t>
  </si>
  <si>
    <t>Total inv cost (M$)</t>
  </si>
  <si>
    <t>Fix costs (M$/year)</t>
  </si>
  <si>
    <t>IRENA (2013)</t>
  </si>
  <si>
    <t>kariba NandS</t>
  </si>
  <si>
    <t>BatokaGorge NandS</t>
  </si>
  <si>
    <t>World bank (2010)</t>
  </si>
  <si>
    <t>ObservedProd: World bank (2010), vol 2, p16</t>
  </si>
  <si>
    <t>REM: KaribaNorth and South: inconsistent between WB vol 3 p 68 and WB vol 4 p 32</t>
  </si>
  <si>
    <t>REM: Songwe: I, II and III aggregated to one power plant</t>
  </si>
  <si>
    <t>SongweI,IIandIII</t>
  </si>
  <si>
    <t xml:space="preserve">Investment costs </t>
  </si>
  <si>
    <t>M$</t>
  </si>
  <si>
    <t>Total costs</t>
  </si>
  <si>
    <t xml:space="preserve">Fix cost </t>
  </si>
  <si>
    <t>M$/year</t>
  </si>
  <si>
    <t>#Observed production</t>
  </si>
  <si>
    <t xml:space="preserve">#Fix costs </t>
  </si>
  <si>
    <t xml:space="preserve">#Investment cost </t>
  </si>
  <si>
    <t>REM: "basedev" scenario is not used in the Zambezi study</t>
  </si>
  <si>
    <t>#Country of power market</t>
  </si>
  <si>
    <t>Description of power markets, representing nodes of the transmission infrastructure, and regional/national demand</t>
  </si>
  <si>
    <t>#Price of electricity - for validation only</t>
  </si>
  <si>
    <t>kWh/kWh-fuel</t>
  </si>
  <si>
    <t>REM: One power market per country is considered</t>
  </si>
  <si>
    <t>South Africa is included as it represents 80% of production and demand</t>
  </si>
  <si>
    <t>The countries are regrouped in the SAPP (Southern African Power Pool)</t>
  </si>
  <si>
    <t>Restricted capacity per load segment for the power technologies (e.g. sunny and non sunny days, no solar at night)</t>
  </si>
  <si>
    <t xml:space="preserve">IRENA (2013) p65: average capacity factor of Hydropower plants: 50% </t>
  </si>
  <si>
    <t>REM: in IRENA (2013) future fuel prices are based on the implementation of a CO₂ tax</t>
  </si>
  <si>
    <t>In this study we disociate Fuel price and Carbon price</t>
  </si>
  <si>
    <t>Description of fuel prices (e.g coal, gas)</t>
  </si>
  <si>
    <t>REM: Water and Solar are "free" fuels for hydro and solar power</t>
  </si>
  <si>
    <t>Current and future prices: IRENA (2013) p22-23, Table 4 and 5</t>
  </si>
  <si>
    <t>Fuel CO₂ emissions</t>
  </si>
  <si>
    <t>Eff</t>
  </si>
  <si>
    <t># CO₂ emission of different fuels</t>
  </si>
  <si>
    <t>tCO₂eq /kWh-fuel</t>
  </si>
  <si>
    <t>IRENA (2013):</t>
  </si>
  <si>
    <t>REM: the 12 $/t and 50 $/t scenarios are to test the sensitivity</t>
  </si>
  <si>
    <t>CO₂ Price</t>
  </si>
  <si>
    <t># CO₂ price / tax</t>
  </si>
  <si>
    <t>REM: we assume a uniform CO₂ price among the countries</t>
  </si>
  <si>
    <t>Alternative: IRENA (2013) p58 : energy demand in 2010, 2030 and 2050</t>
  </si>
  <si>
    <t>SAPP annual report 2015, p 40 demand until 2025, Growth rate applied to 2030</t>
  </si>
  <si>
    <t>Congo</t>
  </si>
  <si>
    <t>Description of power demand per power market</t>
  </si>
  <si>
    <t>REM: This value does not really impact the results, as there is the power technologies representation, able to invest in additional capacity</t>
  </si>
  <si>
    <t>Assumption on alternative electrcity generation price for industry, personal communication, Mikkel Kromann</t>
  </si>
  <si>
    <t>Energy demand (eEngyDem)</t>
  </si>
  <si>
    <t>Energy Value (eEngyVal)</t>
  </si>
  <si>
    <t>Description of the value of the energy demand</t>
  </si>
  <si>
    <t>eTransCost: IRENA (2013) p20, Table 1</t>
  </si>
  <si>
    <t>World bank (2010) p63</t>
  </si>
  <si>
    <t>Source 2:</t>
  </si>
  <si>
    <t>Source 3:</t>
  </si>
  <si>
    <t>Source 4:</t>
  </si>
  <si>
    <t>IRENA (2013) p70</t>
  </si>
  <si>
    <t>eTransLoss: IRENA (2013) p70</t>
  </si>
  <si>
    <t>REM: Transmission lines investment costs: IRENA report p 72 Table 25</t>
  </si>
  <si>
    <t>REM: The different sources differ on the existing lines and capacity</t>
  </si>
  <si>
    <t xml:space="preserve">REM: If several lines exist among two countries, transmission lines are aggregated </t>
  </si>
  <si>
    <t>#Share of demand per load segment</t>
  </si>
  <si>
    <t>Power load segments</t>
  </si>
  <si>
    <t>Description of power load segments (e.g. day night, peak/base)</t>
  </si>
  <si>
    <t>#Load segments</t>
  </si>
  <si>
    <t>#Time share of load segment</t>
  </si>
  <si>
    <t>unit:</t>
  </si>
  <si>
    <t>#SCENARIO</t>
  </si>
  <si>
    <t>#Local supply losses</t>
  </si>
  <si>
    <t>eSupLoss</t>
  </si>
  <si>
    <t>$ct/kWh</t>
  </si>
  <si>
    <t>LifeTime, CAPEX and FixOPEX per country: IRENA (2013) p67</t>
  </si>
  <si>
    <t>eSupLoss: IRENA (2013) p19 + p71</t>
  </si>
  <si>
    <t>On average 2/3 of demand is Industrial 1/3 is Urban</t>
  </si>
  <si>
    <t>Loss to industrial demand: 2%, loss to urban demand: 20%</t>
  </si>
  <si>
    <t>Av.supply loss:</t>
  </si>
  <si>
    <t>invest</t>
  </si>
  <si>
    <t>iTlMozMal</t>
  </si>
  <si>
    <t>iTlMalMoz</t>
  </si>
  <si>
    <t>iTlTazZam</t>
  </si>
  <si>
    <t>iTlZamTaz</t>
  </si>
  <si>
    <t>iTlNamAng</t>
  </si>
  <si>
    <t>iTlAngNam</t>
  </si>
  <si>
    <t>#Net Transmission capacity</t>
  </si>
  <si>
    <t>9999: dummy value for unlimited</t>
  </si>
  <si>
    <t>M$/MW</t>
  </si>
  <si>
    <t>M$/MW /year</t>
  </si>
  <si>
    <t>sOtherPower</t>
  </si>
  <si>
    <t>sHydropower</t>
  </si>
  <si>
    <t>sFuelCost</t>
  </si>
  <si>
    <t>sPowerTrans</t>
  </si>
  <si>
    <t>sCO2Price</t>
  </si>
  <si>
    <t>sEnergyDem</t>
  </si>
  <si>
    <t>sEnergyVal</t>
  </si>
  <si>
    <t>GenericTechnologies</t>
  </si>
  <si>
    <t>Description of Capital Costs of generic power technologies (e.g. solar, gas, coal, nuclear …), representing a capacity expansion model</t>
  </si>
  <si>
    <t>Generic Power Technologies</t>
  </si>
  <si>
    <t>Generic Power Technologies - CAPEX</t>
  </si>
  <si>
    <t xml:space="preserve">REM: CAPEX is in separate sheet </t>
  </si>
  <si>
    <t>GenTechCAPEX</t>
  </si>
  <si>
    <t>sGenTech</t>
  </si>
  <si>
    <t>m³/s</t>
  </si>
  <si>
    <t>wMaxTurb</t>
  </si>
  <si>
    <t>wMinTurb</t>
  </si>
  <si>
    <t>HEAD</t>
  </si>
  <si>
    <t>iTlZamZim</t>
  </si>
  <si>
    <t>iTlZimZam</t>
  </si>
  <si>
    <t>iTlAngBot</t>
  </si>
  <si>
    <t>iTlBotAng</t>
  </si>
  <si>
    <t>iTlMozZim</t>
  </si>
  <si>
    <t>iTlZimMoz</t>
  </si>
  <si>
    <t>iTlSafMoz</t>
  </si>
  <si>
    <t>iTlSafZim</t>
  </si>
  <si>
    <t>iTlNamSaf</t>
  </si>
  <si>
    <t>iTlSafNam</t>
  </si>
  <si>
    <t>iTlZimSaf</t>
  </si>
  <si>
    <t>iTlMozSaf</t>
  </si>
  <si>
    <t>Kafue gorge lower turbines : http://www.hydrosustainability.org/getattachment/53880b57-cf1e-467a-87ca-eaff8218efaa/Site-selection-report-for-the-Kafue-Gorge-Lower-Hy.aspx</t>
  </si>
  <si>
    <t>victoria - NO DATA</t>
  </si>
  <si>
    <t xml:space="preserve">Energy demand in 2025 (SAPP report 2019 p80) </t>
  </si>
  <si>
    <t>temba adjusted as SAPP report value clearly unrealistic (29 000)</t>
  </si>
  <si>
    <t>ENE/RNT</t>
  </si>
  <si>
    <t>TEMBA p59</t>
  </si>
  <si>
    <t>sPowerLoads</t>
  </si>
  <si>
    <t>SCEN_load</t>
  </si>
  <si>
    <t>noload</t>
  </si>
  <si>
    <t>all</t>
  </si>
  <si>
    <t>day</t>
  </si>
  <si>
    <t>night</t>
  </si>
  <si>
    <t>night_hw</t>
  </si>
  <si>
    <t>night_lw</t>
  </si>
  <si>
    <t>day_hs_hw</t>
  </si>
  <si>
    <t>day_hs_lw</t>
  </si>
  <si>
    <t>day_ls_hw</t>
  </si>
  <si>
    <t>day_ls_lw</t>
  </si>
  <si>
    <t>peak_lw</t>
  </si>
  <si>
    <t>peak_hw</t>
  </si>
  <si>
    <t>renew</t>
  </si>
  <si>
    <t>peak(evening)</t>
  </si>
  <si>
    <t>hours</t>
  </si>
  <si>
    <t>Demand (MW)</t>
  </si>
  <si>
    <t>Demand (MWh)</t>
  </si>
  <si>
    <t>Share of total (-)</t>
  </si>
  <si>
    <t>Estimation of extreme inter-day changes to peak electricity demand using Markov chain analysis: A comparative analysis with extreme value theory</t>
  </si>
  <si>
    <t>solar-high</t>
  </si>
  <si>
    <t>solar-low</t>
  </si>
  <si>
    <t>Renewables</t>
  </si>
  <si>
    <t>wind-high</t>
  </si>
  <si>
    <t>wind-low</t>
  </si>
  <si>
    <t>average</t>
  </si>
  <si>
    <t>solar-average</t>
  </si>
  <si>
    <t>wind-average</t>
  </si>
  <si>
    <t>Load (time slice)</t>
  </si>
  <si>
    <t>Wind</t>
  </si>
  <si>
    <t>IRENA (2013) p64: capacity factor of solar project in SA: 20-25 %</t>
  </si>
  <si>
    <t>#Ramp rate of technology (if "Ramping" is ON) - NOT ACTIVE YET</t>
  </si>
  <si>
    <t>eConstTime</t>
  </si>
  <si>
    <t>#construction time</t>
  </si>
  <si>
    <t>PowerPlantCap</t>
  </si>
  <si>
    <t>PowerPlant</t>
  </si>
  <si>
    <t>SeasonVar1</t>
  </si>
  <si>
    <t>SeasonVar2</t>
  </si>
  <si>
    <t>highwinter</t>
  </si>
  <si>
    <t>highsummer</t>
  </si>
  <si>
    <t>nohydro</t>
  </si>
  <si>
    <t>nSCENTECH</t>
  </si>
  <si>
    <t>const0</t>
  </si>
  <si>
    <t>sGenTechCX</t>
  </si>
  <si>
    <t>2030*2010</t>
  </si>
  <si>
    <t>2030_highcost*2010</t>
  </si>
  <si>
    <t>2030_lowcost*2010</t>
  </si>
  <si>
    <t>wind</t>
  </si>
  <si>
    <t>iHpKaribaNext</t>
  </si>
  <si>
    <t>iHpKaribaSext</t>
  </si>
  <si>
    <t>iHpKafueGorgeUpext</t>
  </si>
  <si>
    <t>Prod=Q*coefficient*h</t>
  </si>
  <si>
    <t>eHppProd=Prod/Q=coefficient*h</t>
  </si>
  <si>
    <t>Cap in MW</t>
  </si>
  <si>
    <t>Turbine in m³/s</t>
  </si>
  <si>
    <t>MWh/3600s</t>
  </si>
  <si>
    <t>_</t>
  </si>
  <si>
    <t>CoalPP_PmAngola</t>
  </si>
  <si>
    <t>CoalPP_PmBotswana</t>
  </si>
  <si>
    <t>CoalPP_PmMalawi</t>
  </si>
  <si>
    <t>CoalPP_PmMozambique</t>
  </si>
  <si>
    <t>CoalPP_PmNamibia</t>
  </si>
  <si>
    <t>CoalPP_PmTanzania</t>
  </si>
  <si>
    <t>CoalPP_PmZambia</t>
  </si>
  <si>
    <t>CoalPP_PmZimbabwe</t>
  </si>
  <si>
    <t>CoalPP_PmSouthAfrica</t>
  </si>
  <si>
    <t>GasPP_PmAngola</t>
  </si>
  <si>
    <t>GasPP_PmNamibia</t>
  </si>
  <si>
    <t>GasPP_PmTanzania</t>
  </si>
  <si>
    <t>SolarPV_PmAngola</t>
  </si>
  <si>
    <t>SolarPV_PmBotswana</t>
  </si>
  <si>
    <t>SolarPV_PmMalawi</t>
  </si>
  <si>
    <t>SolarPV_PmMozambique</t>
  </si>
  <si>
    <t>SolarPV_PmNamibia</t>
  </si>
  <si>
    <t>SolarPV_PmTanzania</t>
  </si>
  <si>
    <t>SolarPV_PmZambia</t>
  </si>
  <si>
    <t>SolarPV_PmZimbabwe</t>
  </si>
  <si>
    <t>SolarPV_PmSouthAfrica</t>
  </si>
  <si>
    <t>Wind_PmAngola</t>
  </si>
  <si>
    <t>Wind_PmMozambique</t>
  </si>
  <si>
    <t>Wind_PmNamibia</t>
  </si>
  <si>
    <t>Wind_PmTanzania</t>
  </si>
  <si>
    <t>Wind_PmSouthAfrica</t>
  </si>
  <si>
    <t>carbon25</t>
  </si>
  <si>
    <t>2020 data is from SAPP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</si>
</sst>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2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indexed="8"/>
      <name val="Verdana"/>
      <family val="2"/>
    </font>
    <font>
      <b/>
      <i/>
      <sz val="9"/>
      <color indexed="8"/>
      <name val="Verdana"/>
      <family val="2"/>
    </font>
    <font>
      <sz val="9"/>
      <color indexed="10"/>
      <name val="Verdana"/>
      <family val="2"/>
    </font>
    <font>
      <sz val="10"/>
      <color theme="1"/>
      <name val="Calibri"/>
      <family val="2"/>
      <scheme val="minor"/>
    </font>
    <font>
      <sz val="9"/>
      <color theme="1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" fontId="0" fillId="0" borderId="0" xfId="0" applyNumberFormat="1" applyBorder="1"/>
    <xf numFmtId="1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0" fillId="4" borderId="0" xfId="0" applyNumberFormat="1" applyFill="1" applyBorder="1"/>
    <xf numFmtId="1" fontId="0" fillId="5" borderId="0" xfId="0" applyNumberFormat="1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5" fillId="0" borderId="0" xfId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3" borderId="2" xfId="0" applyFont="1" applyFill="1" applyBorder="1"/>
    <xf numFmtId="2" fontId="0" fillId="3" borderId="0" xfId="0" applyNumberFormat="1" applyFill="1" applyBorder="1"/>
    <xf numFmtId="0" fontId="0" fillId="3" borderId="0" xfId="0" applyFont="1" applyFill="1"/>
    <xf numFmtId="0" fontId="5" fillId="3" borderId="0" xfId="1" applyFill="1"/>
    <xf numFmtId="0" fontId="0" fillId="3" borderId="0" xfId="1" applyFont="1" applyFill="1"/>
    <xf numFmtId="0" fontId="0" fillId="0" borderId="0" xfId="0" applyFont="1"/>
    <xf numFmtId="0" fontId="0" fillId="9" borderId="0" xfId="0" applyFill="1" applyBorder="1"/>
    <xf numFmtId="0" fontId="0" fillId="0" borderId="9" xfId="0" applyBorder="1"/>
    <xf numFmtId="0" fontId="0" fillId="0" borderId="9" xfId="0" applyFill="1" applyBorder="1"/>
    <xf numFmtId="0" fontId="0" fillId="8" borderId="9" xfId="0" applyFill="1" applyBorder="1"/>
    <xf numFmtId="0" fontId="0" fillId="2" borderId="9" xfId="0" applyFill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Border="1"/>
    <xf numFmtId="1" fontId="0" fillId="0" borderId="0" xfId="0" applyNumberFormat="1" applyFont="1" applyFill="1" applyBorder="1"/>
    <xf numFmtId="0" fontId="0" fillId="0" borderId="5" xfId="0" applyFill="1" applyBorder="1"/>
    <xf numFmtId="0" fontId="0" fillId="0" borderId="4" xfId="0" applyFill="1" applyBorder="1"/>
    <xf numFmtId="2" fontId="0" fillId="0" borderId="0" xfId="0" applyNumberFormat="1" applyFill="1" applyBorder="1"/>
    <xf numFmtId="0" fontId="0" fillId="4" borderId="7" xfId="0" applyFill="1" applyBorder="1"/>
    <xf numFmtId="0" fontId="0" fillId="0" borderId="7" xfId="0" applyFill="1" applyBorder="1"/>
    <xf numFmtId="1" fontId="0" fillId="0" borderId="7" xfId="0" applyNumberFormat="1" applyFill="1" applyBorder="1"/>
    <xf numFmtId="1" fontId="0" fillId="0" borderId="7" xfId="0" applyNumberFormat="1" applyBorder="1"/>
    <xf numFmtId="2" fontId="0" fillId="7" borderId="0" xfId="0" applyNumberFormat="1" applyFill="1" applyBorder="1"/>
    <xf numFmtId="0" fontId="6" fillId="0" borderId="1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10" borderId="0" xfId="0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7" borderId="7" xfId="0" applyFill="1" applyBorder="1"/>
    <xf numFmtId="0" fontId="0" fillId="11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3" borderId="7" xfId="0" applyFill="1" applyBorder="1"/>
    <xf numFmtId="0" fontId="0" fillId="0" borderId="7" xfId="0" applyBorder="1"/>
    <xf numFmtId="0" fontId="0" fillId="11" borderId="0" xfId="0" applyFill="1" applyBorder="1"/>
    <xf numFmtId="0" fontId="0" fillId="14" borderId="7" xfId="0" applyFill="1" applyBorder="1"/>
    <xf numFmtId="0" fontId="0" fillId="14" borderId="0" xfId="0" applyFill="1" applyBorder="1"/>
    <xf numFmtId="0" fontId="0" fillId="6" borderId="0" xfId="0" applyFont="1" applyFill="1" applyBorder="1"/>
    <xf numFmtId="1" fontId="0" fillId="4" borderId="7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16" borderId="0" xfId="0" applyFill="1" applyBorder="1"/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0" xfId="0" applyNumberFormat="1"/>
    <xf numFmtId="166" fontId="0" fillId="0" borderId="7" xfId="0" applyNumberFormat="1" applyBorder="1"/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6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1" fontId="0" fillId="17" borderId="7" xfId="0" applyNumberForma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6" fillId="0" borderId="0" xfId="0" applyFon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0" fillId="18" borderId="0" xfId="0" applyFill="1" applyBorder="1"/>
    <xf numFmtId="0" fontId="0" fillId="4" borderId="9" xfId="0" applyFill="1" applyBorder="1"/>
    <xf numFmtId="0" fontId="0" fillId="17" borderId="9" xfId="0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19" borderId="10" xfId="0" applyNumberFormat="1" applyFont="1" applyFill="1" applyBorder="1" applyAlignment="1" applyProtection="1"/>
    <xf numFmtId="0" fontId="8" fillId="19" borderId="10" xfId="0" applyNumberFormat="1" applyFont="1" applyFill="1" applyBorder="1" applyAlignment="1" applyProtection="1"/>
    <xf numFmtId="0" fontId="7" fillId="19" borderId="0" xfId="0" applyNumberFormat="1" applyFont="1" applyFill="1" applyBorder="1" applyAlignment="1" applyProtection="1"/>
    <xf numFmtId="0" fontId="7" fillId="19" borderId="12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19" borderId="13" xfId="0" applyNumberFormat="1" applyFont="1" applyFill="1" applyBorder="1" applyAlignment="1" applyProtection="1"/>
    <xf numFmtId="0" fontId="9" fillId="19" borderId="4" xfId="0" applyNumberFormat="1" applyFont="1" applyFill="1" applyBorder="1" applyAlignment="1" applyProtection="1"/>
    <xf numFmtId="0" fontId="0" fillId="15" borderId="7" xfId="0" applyFill="1" applyBorder="1"/>
    <xf numFmtId="0" fontId="0" fillId="16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7" borderId="7" xfId="0" applyFill="1" applyBorder="1" applyAlignment="1">
      <alignment horizontal="center"/>
    </xf>
    <xf numFmtId="1" fontId="0" fillId="18" borderId="0" xfId="0" applyNumberFormat="1" applyFill="1" applyBorder="1"/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8" borderId="7" xfId="0" applyFill="1" applyBorder="1"/>
    <xf numFmtId="0" fontId="0" fillId="2" borderId="7" xfId="0" applyFill="1" applyBorder="1"/>
    <xf numFmtId="0" fontId="7" fillId="0" borderId="0" xfId="0" applyNumberFormat="1" applyFont="1" applyFill="1" applyBorder="1" applyAlignment="1" applyProtection="1">
      <alignment horizontal="center"/>
    </xf>
    <xf numFmtId="0" fontId="0" fillId="8" borderId="0" xfId="0" applyFont="1" applyFill="1" applyBorder="1"/>
    <xf numFmtId="164" fontId="0" fillId="0" borderId="0" xfId="0" applyNumberFormat="1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17" borderId="0" xfId="0" applyFont="1" applyFill="1" applyAlignment="1">
      <alignment horizontal="center" vertical="center" wrapText="1"/>
    </xf>
    <xf numFmtId="0" fontId="2" fillId="17" borderId="0" xfId="0" applyFont="1" applyFill="1"/>
    <xf numFmtId="0" fontId="0" fillId="0" borderId="4" xfId="0" applyFont="1" applyFill="1" applyBorder="1"/>
    <xf numFmtId="0" fontId="1" fillId="0" borderId="2" xfId="0" applyFont="1" applyFill="1" applyBorder="1"/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0" fillId="3" borderId="13" xfId="0" applyFill="1" applyBorder="1"/>
    <xf numFmtId="0" fontId="6" fillId="0" borderId="11" xfId="0" applyFont="1" applyFill="1" applyBorder="1"/>
    <xf numFmtId="0" fontId="0" fillId="0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4" fillId="0" borderId="12" xfId="0" applyFont="1" applyFill="1" applyBorder="1"/>
    <xf numFmtId="0" fontId="0" fillId="0" borderId="14" xfId="0" applyFill="1" applyBorder="1"/>
    <xf numFmtId="0" fontId="10" fillId="0" borderId="0" xfId="0" applyFont="1" applyFill="1" applyBorder="1"/>
    <xf numFmtId="1" fontId="10" fillId="0" borderId="0" xfId="0" applyNumberFormat="1" applyFont="1" applyBorder="1"/>
    <xf numFmtId="0" fontId="10" fillId="3" borderId="0" xfId="0" applyFont="1" applyFill="1" applyBorder="1"/>
    <xf numFmtId="0" fontId="10" fillId="0" borderId="0" xfId="0" applyFont="1"/>
    <xf numFmtId="2" fontId="10" fillId="3" borderId="0" xfId="0" applyNumberFormat="1" applyFont="1" applyFill="1" applyBorder="1"/>
    <xf numFmtId="0" fontId="10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0" fillId="20" borderId="0" xfId="0" applyFill="1" applyBorder="1"/>
    <xf numFmtId="0" fontId="7" fillId="7" borderId="0" xfId="0" applyNumberFormat="1" applyFont="1" applyFill="1" applyBorder="1" applyAlignment="1" applyProtection="1"/>
    <xf numFmtId="0" fontId="2" fillId="20" borderId="0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1" fontId="0" fillId="20" borderId="0" xfId="0" applyNumberFormat="1" applyFill="1" applyBorder="1"/>
    <xf numFmtId="0" fontId="0" fillId="20" borderId="9" xfId="0" applyFill="1" applyBorder="1"/>
    <xf numFmtId="0" fontId="0" fillId="20" borderId="13" xfId="0" applyFill="1" applyBorder="1"/>
    <xf numFmtId="0" fontId="0" fillId="9" borderId="13" xfId="0" applyFill="1" applyBorder="1"/>
    <xf numFmtId="1" fontId="0" fillId="3" borderId="13" xfId="0" applyNumberFormat="1" applyFill="1" applyBorder="1"/>
    <xf numFmtId="0" fontId="4" fillId="3" borderId="0" xfId="0" applyFont="1" applyFill="1" applyBorder="1"/>
    <xf numFmtId="0" fontId="2" fillId="21" borderId="0" xfId="0" applyFont="1" applyFill="1" applyAlignment="1">
      <alignment horizontal="center" vertical="center" wrapText="1"/>
    </xf>
    <xf numFmtId="0" fontId="0" fillId="21" borderId="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 vertical="center"/>
    </xf>
    <xf numFmtId="166" fontId="0" fillId="0" borderId="12" xfId="0" applyNumberFormat="1" applyFill="1" applyBorder="1"/>
    <xf numFmtId="1" fontId="0" fillId="0" borderId="12" xfId="0" applyNumberFormat="1" applyFill="1" applyBorder="1"/>
    <xf numFmtId="0" fontId="0" fillId="3" borderId="14" xfId="0" applyFill="1" applyBorder="1"/>
    <xf numFmtId="0" fontId="0" fillId="0" borderId="10" xfId="0" applyFill="1" applyBorder="1"/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13" xfId="0" applyFill="1" applyBorder="1"/>
    <xf numFmtId="0" fontId="0" fillId="0" borderId="10" xfId="0" applyBorder="1"/>
    <xf numFmtId="0" fontId="6" fillId="0" borderId="10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7" fillId="0" borderId="0" xfId="0" applyNumberFormat="1" applyFont="1" applyFill="1" applyBorder="1" applyAlignment="1" applyProtection="1">
      <alignment horizontal="right"/>
    </xf>
    <xf numFmtId="0" fontId="7" fillId="0" borderId="4" xfId="0" applyNumberFormat="1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0" fontId="0" fillId="0" borderId="11" xfId="0" applyFill="1" applyBorder="1"/>
    <xf numFmtId="0" fontId="7" fillId="0" borderId="12" xfId="0" applyNumberFormat="1" applyFont="1" applyFill="1" applyBorder="1" applyAlignment="1" applyProtection="1"/>
    <xf numFmtId="166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Fill="1" applyBorder="1"/>
    <xf numFmtId="0" fontId="0" fillId="3" borderId="12" xfId="0" applyFill="1" applyBorder="1"/>
    <xf numFmtId="2" fontId="0" fillId="3" borderId="12" xfId="0" applyNumberFormat="1" applyFill="1" applyBorder="1"/>
    <xf numFmtId="0" fontId="5" fillId="0" borderId="12" xfId="1" applyBorder="1"/>
    <xf numFmtId="0" fontId="0" fillId="3" borderId="0" xfId="0" applyFont="1" applyFill="1" applyBorder="1"/>
    <xf numFmtId="0" fontId="0" fillId="21" borderId="0" xfId="0" applyFill="1" applyAlignment="1">
      <alignment horizontal="center" vertical="center"/>
    </xf>
    <xf numFmtId="0" fontId="0" fillId="0" borderId="0" xfId="0" applyFont="1" applyFill="1" applyBorder="1"/>
    <xf numFmtId="0" fontId="0" fillId="22" borderId="0" xfId="0" applyFill="1"/>
    <xf numFmtId="0" fontId="0" fillId="11" borderId="13" xfId="0" applyFill="1" applyBorder="1"/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0" fillId="3" borderId="0" xfId="0" applyFill="1" applyBorder="1"/>
    <xf numFmtId="1" fontId="0" fillId="6" borderId="13" xfId="0" applyNumberFormat="1" applyFill="1" applyBorder="1"/>
    <xf numFmtId="0" fontId="0" fillId="6" borderId="0" xfId="0" applyFill="1" applyBorder="1" applyAlignment="1">
      <alignment horizontal="right"/>
    </xf>
    <xf numFmtId="2" fontId="0" fillId="6" borderId="0" xfId="0" applyNumberFormat="1" applyFill="1" applyBorder="1"/>
    <xf numFmtId="166" fontId="0" fillId="3" borderId="0" xfId="0" applyNumberFormat="1" applyFill="1" applyBorder="1"/>
    <xf numFmtId="0" fontId="0" fillId="6" borderId="6" xfId="0" applyFill="1" applyBorder="1"/>
    <xf numFmtId="1" fontId="0" fillId="0" borderId="13" xfId="0" applyNumberFormat="1" applyFont="1" applyFill="1" applyBorder="1"/>
    <xf numFmtId="1" fontId="0" fillId="0" borderId="13" xfId="0" applyNumberFormat="1" applyFill="1" applyBorder="1"/>
    <xf numFmtId="0" fontId="0" fillId="23" borderId="0" xfId="0" applyFill="1" applyBorder="1"/>
    <xf numFmtId="0" fontId="0" fillId="23" borderId="0" xfId="0" applyFill="1"/>
    <xf numFmtId="0" fontId="0" fillId="15" borderId="0" xfId="0" applyFill="1"/>
    <xf numFmtId="2" fontId="0" fillId="0" borderId="0" xfId="0" applyNumberFormat="1"/>
    <xf numFmtId="9" fontId="0" fillId="0" borderId="0" xfId="2" applyFont="1"/>
    <xf numFmtId="0" fontId="1" fillId="0" borderId="0" xfId="0" applyFont="1" applyBorder="1"/>
    <xf numFmtId="0" fontId="1" fillId="0" borderId="4" xfId="0" applyFont="1" applyFill="1" applyBorder="1"/>
    <xf numFmtId="9" fontId="0" fillId="3" borderId="0" xfId="2" applyFont="1" applyFill="1" applyBorder="1"/>
    <xf numFmtId="9" fontId="0" fillId="0" borderId="0" xfId="2" applyFont="1" applyFill="1" applyBorder="1"/>
    <xf numFmtId="9" fontId="0" fillId="0" borderId="0" xfId="0" applyNumberFormat="1"/>
    <xf numFmtId="9" fontId="0" fillId="0" borderId="0" xfId="2" applyFont="1" applyBorder="1"/>
    <xf numFmtId="9" fontId="0" fillId="0" borderId="0" xfId="0" applyNumberFormat="1" applyBorder="1"/>
    <xf numFmtId="9" fontId="0" fillId="3" borderId="0" xfId="0" applyNumberFormat="1" applyFill="1" applyBorder="1"/>
    <xf numFmtId="0" fontId="0" fillId="0" borderId="13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2" fontId="0" fillId="0" borderId="0" xfId="0" applyNumberFormat="1" applyBorder="1"/>
    <xf numFmtId="1" fontId="0" fillId="0" borderId="13" xfId="0" applyNumberFormat="1" applyBorder="1"/>
    <xf numFmtId="0" fontId="0" fillId="0" borderId="13" xfId="0" applyBorder="1" applyAlignment="1">
      <alignment horizontal="center"/>
    </xf>
    <xf numFmtId="1" fontId="0" fillId="9" borderId="0" xfId="0" applyNumberFormat="1" applyFill="1" applyBorder="1" applyAlignment="1">
      <alignment horizontal="center" vertical="center"/>
    </xf>
    <xf numFmtId="1" fontId="0" fillId="9" borderId="13" xfId="0" applyNumberFormat="1" applyFill="1" applyBorder="1" applyAlignment="1">
      <alignment horizontal="center" vertical="center"/>
    </xf>
    <xf numFmtId="1" fontId="0" fillId="11" borderId="0" xfId="0" applyNumberFormat="1" applyFill="1" applyBorder="1"/>
    <xf numFmtId="1" fontId="0" fillId="6" borderId="0" xfId="0" applyNumberFormat="1" applyFill="1" applyBorder="1"/>
    <xf numFmtId="0" fontId="0" fillId="6" borderId="13" xfId="0" applyFill="1" applyBorder="1"/>
    <xf numFmtId="0" fontId="0" fillId="22" borderId="13" xfId="0" applyFill="1" applyBorder="1"/>
    <xf numFmtId="0" fontId="0" fillId="24" borderId="0" xfId="0" applyFill="1"/>
    <xf numFmtId="0" fontId="0" fillId="24" borderId="13" xfId="0" applyFill="1" applyBorder="1"/>
    <xf numFmtId="0" fontId="0" fillId="25" borderId="0" xfId="0" applyFill="1"/>
    <xf numFmtId="0" fontId="0" fillId="25" borderId="0" xfId="0" applyFill="1" applyBorder="1"/>
    <xf numFmtId="0" fontId="0" fillId="21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app.co.zw/transfer-limit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showGridLines="0" workbookViewId="0">
      <selection activeCell="F27" sqref="F27"/>
    </sheetView>
  </sheetViews>
  <sheetFormatPr defaultRowHeight="11.5" x14ac:dyDescent="0.25"/>
  <cols>
    <col min="2" max="2" width="17" customWidth="1"/>
    <col min="6" max="6" width="11.453125" customWidth="1"/>
    <col min="7" max="7" width="15.26953125" customWidth="1"/>
    <col min="8" max="8" width="10.6328125" customWidth="1"/>
    <col min="9" max="9" width="13.6328125" customWidth="1"/>
  </cols>
  <sheetData>
    <row r="1" spans="1:11" ht="19.5" x14ac:dyDescent="0.35">
      <c r="A1" s="6" t="s">
        <v>15</v>
      </c>
    </row>
    <row r="2" spans="1:11" x14ac:dyDescent="0.25">
      <c r="A2" s="5" t="s">
        <v>16</v>
      </c>
    </row>
    <row r="3" spans="1:11" x14ac:dyDescent="0.25">
      <c r="A3" s="5"/>
    </row>
    <row r="4" spans="1:11" x14ac:dyDescent="0.25">
      <c r="A4" s="3" t="s">
        <v>4</v>
      </c>
      <c r="C4" s="4"/>
    </row>
    <row r="5" spans="1:11" x14ac:dyDescent="0.25">
      <c r="A5" s="3" t="s">
        <v>3</v>
      </c>
      <c r="C5" s="2"/>
    </row>
    <row r="6" spans="1:11" x14ac:dyDescent="0.25">
      <c r="A6" s="7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161</v>
      </c>
      <c r="G6" t="s">
        <v>22</v>
      </c>
      <c r="H6" t="s">
        <v>23</v>
      </c>
      <c r="I6" t="s">
        <v>24</v>
      </c>
      <c r="J6" t="s">
        <v>56</v>
      </c>
      <c r="K6" t="s">
        <v>164</v>
      </c>
    </row>
    <row r="7" spans="1:11" x14ac:dyDescent="0.25">
      <c r="A7" s="1">
        <v>1</v>
      </c>
      <c r="B7" t="s">
        <v>513</v>
      </c>
      <c r="C7">
        <v>21</v>
      </c>
      <c r="D7" s="8">
        <v>1</v>
      </c>
      <c r="E7">
        <v>1</v>
      </c>
      <c r="J7">
        <v>1</v>
      </c>
    </row>
    <row r="8" spans="1:11" x14ac:dyDescent="0.25">
      <c r="A8" s="1">
        <v>2</v>
      </c>
      <c r="B8" t="s">
        <v>512</v>
      </c>
      <c r="C8">
        <v>21</v>
      </c>
      <c r="D8" s="8">
        <v>1</v>
      </c>
      <c r="E8">
        <v>1</v>
      </c>
      <c r="F8" t="s">
        <v>441</v>
      </c>
      <c r="J8">
        <v>1</v>
      </c>
    </row>
    <row r="9" spans="1:11" x14ac:dyDescent="0.25">
      <c r="A9" s="1">
        <v>3</v>
      </c>
      <c r="B9" t="s">
        <v>160</v>
      </c>
      <c r="C9">
        <v>21</v>
      </c>
      <c r="D9" s="8">
        <v>1</v>
      </c>
      <c r="E9">
        <v>1</v>
      </c>
      <c r="F9" t="s">
        <v>442</v>
      </c>
      <c r="J9">
        <v>1</v>
      </c>
    </row>
    <row r="10" spans="1:11" x14ac:dyDescent="0.25">
      <c r="A10" s="1">
        <v>4</v>
      </c>
      <c r="B10" t="s">
        <v>9</v>
      </c>
      <c r="C10">
        <v>21</v>
      </c>
      <c r="D10">
        <v>1</v>
      </c>
      <c r="E10">
        <v>2</v>
      </c>
      <c r="F10" t="s">
        <v>443</v>
      </c>
      <c r="H10" t="s">
        <v>193</v>
      </c>
      <c r="I10" t="s">
        <v>11</v>
      </c>
      <c r="J10">
        <v>1</v>
      </c>
    </row>
    <row r="11" spans="1:11" x14ac:dyDescent="0.25">
      <c r="A11" s="1">
        <v>5</v>
      </c>
      <c r="B11" t="s">
        <v>219</v>
      </c>
      <c r="C11">
        <v>21</v>
      </c>
      <c r="D11">
        <v>1</v>
      </c>
      <c r="E11">
        <v>1</v>
      </c>
      <c r="J11">
        <v>1</v>
      </c>
    </row>
    <row r="12" spans="1:11" x14ac:dyDescent="0.25">
      <c r="A12" s="1">
        <v>6</v>
      </c>
      <c r="B12" t="s">
        <v>49</v>
      </c>
      <c r="C12">
        <v>21</v>
      </c>
      <c r="D12">
        <v>1</v>
      </c>
      <c r="E12">
        <v>2</v>
      </c>
      <c r="F12" t="s">
        <v>446</v>
      </c>
      <c r="H12" t="s">
        <v>188</v>
      </c>
      <c r="J12">
        <v>1</v>
      </c>
    </row>
    <row r="13" spans="1:11" x14ac:dyDescent="0.25">
      <c r="A13" s="1">
        <v>7</v>
      </c>
      <c r="B13" t="s">
        <v>165</v>
      </c>
      <c r="C13">
        <v>21</v>
      </c>
      <c r="D13">
        <v>1</v>
      </c>
      <c r="E13">
        <v>2</v>
      </c>
      <c r="F13" t="s">
        <v>447</v>
      </c>
      <c r="H13" t="s">
        <v>189</v>
      </c>
      <c r="J13">
        <v>1</v>
      </c>
    </row>
    <row r="14" spans="1:11" x14ac:dyDescent="0.25">
      <c r="A14" s="1">
        <v>8</v>
      </c>
      <c r="B14" t="s">
        <v>50</v>
      </c>
      <c r="C14">
        <v>21</v>
      </c>
      <c r="D14">
        <v>1</v>
      </c>
      <c r="E14">
        <v>1</v>
      </c>
      <c r="F14" t="s">
        <v>444</v>
      </c>
      <c r="J14">
        <v>1</v>
      </c>
    </row>
    <row r="15" spans="1:11" x14ac:dyDescent="0.25">
      <c r="A15" s="1">
        <v>9</v>
      </c>
      <c r="B15" t="s">
        <v>105</v>
      </c>
      <c r="C15">
        <v>21</v>
      </c>
      <c r="D15">
        <v>1</v>
      </c>
      <c r="E15">
        <v>1</v>
      </c>
      <c r="F15" t="s">
        <v>477</v>
      </c>
      <c r="J15">
        <v>1</v>
      </c>
    </row>
    <row r="16" spans="1:11" x14ac:dyDescent="0.25">
      <c r="A16" s="1">
        <v>10</v>
      </c>
      <c r="B16" t="s">
        <v>448</v>
      </c>
      <c r="C16">
        <v>21</v>
      </c>
      <c r="D16">
        <v>2</v>
      </c>
      <c r="E16">
        <v>1</v>
      </c>
      <c r="F16" t="s">
        <v>454</v>
      </c>
      <c r="J16">
        <v>1</v>
      </c>
    </row>
    <row r="17" spans="1:10" x14ac:dyDescent="0.25">
      <c r="A17" s="1">
        <v>11</v>
      </c>
      <c r="B17" t="s">
        <v>453</v>
      </c>
      <c r="C17">
        <v>21</v>
      </c>
      <c r="D17">
        <v>2</v>
      </c>
      <c r="E17">
        <v>1</v>
      </c>
      <c r="F17" t="s">
        <v>521</v>
      </c>
      <c r="J17">
        <v>1</v>
      </c>
    </row>
    <row r="18" spans="1:10" x14ac:dyDescent="0.25">
      <c r="A18" s="1">
        <v>12</v>
      </c>
      <c r="B18" t="s">
        <v>283</v>
      </c>
      <c r="C18">
        <v>21</v>
      </c>
      <c r="D18">
        <v>2</v>
      </c>
      <c r="E18">
        <v>2</v>
      </c>
      <c r="F18" t="s">
        <v>477</v>
      </c>
      <c r="H18" t="s">
        <v>284</v>
      </c>
      <c r="J18">
        <v>1</v>
      </c>
    </row>
    <row r="19" spans="1:10" x14ac:dyDescent="0.25">
      <c r="A19" s="1">
        <v>13</v>
      </c>
      <c r="B19" t="s">
        <v>326</v>
      </c>
      <c r="C19">
        <v>21</v>
      </c>
      <c r="D19">
        <v>1</v>
      </c>
      <c r="E19">
        <v>1</v>
      </c>
      <c r="J19">
        <v>1</v>
      </c>
    </row>
    <row r="20" spans="1:10" x14ac:dyDescent="0.25">
      <c r="A20" s="1">
        <v>14</v>
      </c>
      <c r="B20" t="s">
        <v>325</v>
      </c>
      <c r="C20">
        <v>21</v>
      </c>
      <c r="D20">
        <v>1</v>
      </c>
      <c r="E20">
        <v>1</v>
      </c>
      <c r="F20" t="s">
        <v>445</v>
      </c>
      <c r="J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showGridLines="0" topLeftCell="A19" workbookViewId="0">
      <selection activeCell="F33" sqref="F33"/>
    </sheetView>
  </sheetViews>
  <sheetFormatPr defaultRowHeight="11.5" x14ac:dyDescent="0.25"/>
  <cols>
    <col min="1" max="2" width="14.7265625" customWidth="1"/>
    <col min="3" max="3" width="10.08984375" customWidth="1"/>
  </cols>
  <sheetData>
    <row r="1" spans="1:6" ht="19.5" x14ac:dyDescent="0.35">
      <c r="A1" s="6" t="s">
        <v>316</v>
      </c>
      <c r="B1" s="6"/>
    </row>
    <row r="2" spans="1:6" x14ac:dyDescent="0.25">
      <c r="A2" s="5" t="s">
        <v>10</v>
      </c>
      <c r="B2" s="5"/>
    </row>
    <row r="3" spans="1:6" x14ac:dyDescent="0.25">
      <c r="C3" s="5"/>
    </row>
    <row r="4" spans="1:6" x14ac:dyDescent="0.25">
      <c r="A4" s="63" t="s">
        <v>128</v>
      </c>
      <c r="B4" s="192"/>
      <c r="C4" s="191"/>
      <c r="D4" s="192"/>
      <c r="E4" s="187"/>
      <c r="F4" s="203"/>
    </row>
    <row r="5" spans="1:6" x14ac:dyDescent="0.25">
      <c r="A5" s="56"/>
      <c r="B5" s="8"/>
      <c r="C5" s="8"/>
      <c r="D5" s="8"/>
      <c r="E5" s="8"/>
      <c r="F5" s="158"/>
    </row>
    <row r="6" spans="1:6" x14ac:dyDescent="0.25">
      <c r="A6" s="189" t="s">
        <v>391</v>
      </c>
      <c r="B6" s="1"/>
      <c r="C6" s="92"/>
      <c r="D6" s="121"/>
      <c r="E6" s="121"/>
      <c r="F6" s="160"/>
    </row>
    <row r="7" spans="1:6" x14ac:dyDescent="0.25">
      <c r="A7" s="189" t="s">
        <v>393</v>
      </c>
      <c r="B7" s="1"/>
      <c r="C7" s="121">
        <v>25</v>
      </c>
      <c r="D7" s="121" t="s">
        <v>319</v>
      </c>
      <c r="E7" s="140"/>
      <c r="F7" s="204"/>
    </row>
    <row r="8" spans="1:6" x14ac:dyDescent="0.25">
      <c r="A8" s="189"/>
      <c r="B8" s="1"/>
      <c r="C8" s="1"/>
      <c r="D8" s="121"/>
      <c r="E8" s="121"/>
      <c r="F8" s="204"/>
    </row>
    <row r="9" spans="1:6" x14ac:dyDescent="0.25">
      <c r="A9" s="206" t="s">
        <v>392</v>
      </c>
      <c r="B9" s="217"/>
      <c r="C9" s="8"/>
      <c r="D9" s="121"/>
      <c r="E9" s="121"/>
      <c r="F9" s="160"/>
    </row>
    <row r="10" spans="1:6" x14ac:dyDescent="0.25">
      <c r="A10" s="206" t="s">
        <v>395</v>
      </c>
      <c r="B10" s="217"/>
      <c r="C10" s="121"/>
      <c r="D10" s="121"/>
      <c r="E10" s="121"/>
      <c r="F10" s="160"/>
    </row>
    <row r="11" spans="1:6" x14ac:dyDescent="0.25">
      <c r="A11" s="206"/>
      <c r="B11" s="217"/>
      <c r="C11" s="121"/>
      <c r="D11" s="121"/>
      <c r="E11" s="121"/>
      <c r="F11" s="160"/>
    </row>
    <row r="12" spans="1:6" x14ac:dyDescent="0.25">
      <c r="A12" s="206"/>
      <c r="B12" s="217"/>
      <c r="C12" s="121"/>
      <c r="D12" s="121"/>
      <c r="E12" s="99"/>
      <c r="F12" s="158"/>
    </row>
    <row r="13" spans="1:6" x14ac:dyDescent="0.25">
      <c r="A13" s="206"/>
      <c r="B13" s="217"/>
      <c r="C13" s="121"/>
      <c r="D13" s="121"/>
      <c r="E13" s="1"/>
      <c r="F13" s="158"/>
    </row>
    <row r="14" spans="1:6" x14ac:dyDescent="0.25">
      <c r="A14" s="206"/>
      <c r="B14" s="217"/>
      <c r="C14" s="121"/>
      <c r="D14" s="121"/>
      <c r="E14" s="1"/>
      <c r="F14" s="158"/>
    </row>
    <row r="15" spans="1:6" x14ac:dyDescent="0.25">
      <c r="A15" s="206"/>
      <c r="B15" s="217"/>
      <c r="C15" s="121"/>
      <c r="D15" s="121"/>
      <c r="E15" s="1"/>
      <c r="F15" s="158"/>
    </row>
    <row r="16" spans="1:6" x14ac:dyDescent="0.25">
      <c r="A16" s="206"/>
      <c r="B16" s="217"/>
      <c r="C16" s="205"/>
      <c r="D16" s="121"/>
      <c r="E16" s="1"/>
      <c r="F16" s="158"/>
    </row>
    <row r="17" spans="1:8" x14ac:dyDescent="0.25">
      <c r="A17" s="206"/>
      <c r="B17" s="217"/>
      <c r="C17" s="121"/>
      <c r="D17" s="121"/>
      <c r="E17" s="8"/>
      <c r="F17" s="158"/>
    </row>
    <row r="18" spans="1:8" x14ac:dyDescent="0.25">
      <c r="A18" s="195"/>
      <c r="B18" s="190"/>
      <c r="C18" s="190"/>
      <c r="D18" s="190"/>
      <c r="E18" s="190"/>
      <c r="F18" s="162"/>
    </row>
    <row r="20" spans="1:8" ht="23" x14ac:dyDescent="0.25">
      <c r="C20" s="207" t="s">
        <v>394</v>
      </c>
    </row>
    <row r="21" spans="1:8" x14ac:dyDescent="0.25">
      <c r="C21" s="24" t="s">
        <v>320</v>
      </c>
      <c r="D21" s="8"/>
      <c r="E21" s="8"/>
      <c r="F21" s="8"/>
    </row>
    <row r="22" spans="1:8" x14ac:dyDescent="0.25">
      <c r="A22" s="141" t="s">
        <v>317</v>
      </c>
      <c r="B22" s="218" t="s">
        <v>87</v>
      </c>
      <c r="C22" s="8" t="s">
        <v>318</v>
      </c>
      <c r="D22" s="8"/>
      <c r="E22" s="8"/>
      <c r="F22" s="8"/>
    </row>
    <row r="23" spans="1:8" x14ac:dyDescent="0.25">
      <c r="A23" s="1" t="s">
        <v>158</v>
      </c>
      <c r="B23" s="1" t="s">
        <v>65</v>
      </c>
      <c r="C23" s="8">
        <v>0</v>
      </c>
      <c r="D23" s="89"/>
      <c r="E23" s="89"/>
      <c r="F23" s="16"/>
    </row>
    <row r="24" spans="1:8" x14ac:dyDescent="0.25">
      <c r="A24" s="1"/>
      <c r="B24" s="1" t="s">
        <v>66</v>
      </c>
      <c r="C24" s="8">
        <v>0</v>
      </c>
      <c r="D24" s="89"/>
      <c r="E24" s="89"/>
      <c r="F24" s="16"/>
    </row>
    <row r="25" spans="1:8" x14ac:dyDescent="0.25">
      <c r="A25" s="1"/>
      <c r="B25" t="s">
        <v>67</v>
      </c>
      <c r="C25" s="8">
        <v>0</v>
      </c>
      <c r="D25" s="89"/>
      <c r="E25" s="89"/>
      <c r="F25" s="1"/>
      <c r="G25" s="1"/>
      <c r="H25" s="8"/>
    </row>
    <row r="26" spans="1:8" x14ac:dyDescent="0.25">
      <c r="A26" s="1"/>
      <c r="B26" t="s">
        <v>59</v>
      </c>
      <c r="C26" s="8">
        <v>0</v>
      </c>
      <c r="D26" s="89"/>
      <c r="E26" s="89"/>
      <c r="F26" s="8"/>
      <c r="G26" s="8"/>
      <c r="H26" s="8"/>
    </row>
    <row r="27" spans="1:8" x14ac:dyDescent="0.25">
      <c r="A27" s="1"/>
      <c r="B27" t="s">
        <v>68</v>
      </c>
      <c r="C27" s="8">
        <v>0</v>
      </c>
      <c r="D27" s="89"/>
      <c r="E27" s="89"/>
      <c r="F27" s="8"/>
      <c r="G27" s="8"/>
      <c r="H27" s="8"/>
    </row>
    <row r="28" spans="1:8" x14ac:dyDescent="0.25">
      <c r="A28" s="1"/>
      <c r="B28" t="s">
        <v>69</v>
      </c>
      <c r="C28" s="8">
        <v>0</v>
      </c>
      <c r="D28" s="89"/>
      <c r="E28" s="89"/>
      <c r="F28" s="16"/>
    </row>
    <row r="29" spans="1:8" x14ac:dyDescent="0.25">
      <c r="A29" s="1"/>
      <c r="B29" t="s">
        <v>86</v>
      </c>
      <c r="C29" s="8">
        <v>0</v>
      </c>
      <c r="D29" s="89"/>
      <c r="E29" s="89"/>
      <c r="F29" s="16"/>
    </row>
    <row r="30" spans="1:8" x14ac:dyDescent="0.25">
      <c r="A30" s="1"/>
      <c r="B30" t="s">
        <v>70</v>
      </c>
      <c r="C30" s="8">
        <v>0</v>
      </c>
      <c r="D30" s="89"/>
      <c r="E30" s="89"/>
      <c r="F30" s="16"/>
    </row>
    <row r="31" spans="1:8" x14ac:dyDescent="0.25">
      <c r="A31" s="1"/>
      <c r="B31" t="s">
        <v>77</v>
      </c>
      <c r="C31" s="8">
        <v>0</v>
      </c>
      <c r="D31" s="89"/>
      <c r="E31" s="89"/>
      <c r="F31" s="16"/>
    </row>
    <row r="32" spans="1:8" x14ac:dyDescent="0.25">
      <c r="A32" s="1" t="s">
        <v>561</v>
      </c>
      <c r="B32" s="1" t="s">
        <v>65</v>
      </c>
      <c r="C32" s="8">
        <v>25</v>
      </c>
      <c r="D32" s="89"/>
      <c r="E32" s="89"/>
      <c r="F32" s="16"/>
    </row>
    <row r="33" spans="1:6" x14ac:dyDescent="0.25">
      <c r="A33" s="1"/>
      <c r="B33" s="1" t="s">
        <v>66</v>
      </c>
      <c r="C33" s="8">
        <v>25</v>
      </c>
      <c r="D33" s="8"/>
      <c r="E33" s="8"/>
      <c r="F33" s="8"/>
    </row>
    <row r="34" spans="1:6" x14ac:dyDescent="0.25">
      <c r="A34" s="1"/>
      <c r="B34" t="s">
        <v>67</v>
      </c>
      <c r="C34" s="8">
        <v>25</v>
      </c>
      <c r="D34" s="8"/>
      <c r="E34" s="8"/>
      <c r="F34" s="8"/>
    </row>
    <row r="35" spans="1:6" x14ac:dyDescent="0.25">
      <c r="A35" s="1"/>
      <c r="B35" t="s">
        <v>59</v>
      </c>
      <c r="C35" s="8">
        <v>25</v>
      </c>
    </row>
    <row r="36" spans="1:6" x14ac:dyDescent="0.25">
      <c r="A36" s="1"/>
      <c r="B36" t="s">
        <v>68</v>
      </c>
      <c r="C36" s="8">
        <v>25</v>
      </c>
    </row>
    <row r="37" spans="1:6" x14ac:dyDescent="0.25">
      <c r="A37" s="1"/>
      <c r="B37" t="s">
        <v>69</v>
      </c>
      <c r="C37" s="8">
        <v>25</v>
      </c>
    </row>
    <row r="38" spans="1:6" x14ac:dyDescent="0.25">
      <c r="A38" s="1"/>
      <c r="B38" t="s">
        <v>86</v>
      </c>
      <c r="C38" s="8">
        <v>25</v>
      </c>
    </row>
    <row r="39" spans="1:6" x14ac:dyDescent="0.25">
      <c r="A39" s="1"/>
      <c r="B39" t="s">
        <v>70</v>
      </c>
      <c r="C39" s="8">
        <v>25</v>
      </c>
    </row>
    <row r="40" spans="1:6" x14ac:dyDescent="0.25">
      <c r="A40" s="1"/>
      <c r="B40" t="s">
        <v>77</v>
      </c>
      <c r="C40" s="8">
        <v>25</v>
      </c>
    </row>
    <row r="41" spans="1:6" x14ac:dyDescent="0.25">
      <c r="A41" s="8" t="s">
        <v>324</v>
      </c>
      <c r="B41" s="1" t="s">
        <v>65</v>
      </c>
      <c r="C41" s="8">
        <v>12.5</v>
      </c>
    </row>
    <row r="42" spans="1:6" x14ac:dyDescent="0.25">
      <c r="A42" s="1"/>
      <c r="B42" s="1" t="s">
        <v>66</v>
      </c>
      <c r="C42" s="8">
        <v>12.5</v>
      </c>
    </row>
    <row r="43" spans="1:6" x14ac:dyDescent="0.25">
      <c r="A43" s="1"/>
      <c r="B43" t="s">
        <v>67</v>
      </c>
      <c r="C43" s="8">
        <v>12.5</v>
      </c>
    </row>
    <row r="44" spans="1:6" x14ac:dyDescent="0.25">
      <c r="A44" s="1"/>
      <c r="B44" t="s">
        <v>59</v>
      </c>
      <c r="C44" s="8">
        <v>12.5</v>
      </c>
    </row>
    <row r="45" spans="1:6" x14ac:dyDescent="0.25">
      <c r="A45" s="1"/>
      <c r="B45" t="s">
        <v>68</v>
      </c>
      <c r="C45" s="8">
        <v>12.5</v>
      </c>
    </row>
    <row r="46" spans="1:6" x14ac:dyDescent="0.25">
      <c r="A46" s="1"/>
      <c r="B46" t="s">
        <v>69</v>
      </c>
      <c r="C46" s="8">
        <v>12.5</v>
      </c>
    </row>
    <row r="47" spans="1:6" x14ac:dyDescent="0.25">
      <c r="A47" s="1"/>
      <c r="B47" t="s">
        <v>86</v>
      </c>
      <c r="C47" s="8">
        <v>12.5</v>
      </c>
    </row>
    <row r="48" spans="1:6" x14ac:dyDescent="0.25">
      <c r="A48" s="1"/>
      <c r="B48" t="s">
        <v>70</v>
      </c>
      <c r="C48" s="8">
        <v>12.5</v>
      </c>
    </row>
    <row r="49" spans="1:3" x14ac:dyDescent="0.25">
      <c r="A49" s="1"/>
      <c r="B49" t="s">
        <v>77</v>
      </c>
      <c r="C49" s="8">
        <v>12.5</v>
      </c>
    </row>
    <row r="50" spans="1:3" x14ac:dyDescent="0.25">
      <c r="A50" s="8" t="s">
        <v>323</v>
      </c>
      <c r="B50" s="1" t="s">
        <v>65</v>
      </c>
      <c r="C50" s="8">
        <v>50</v>
      </c>
    </row>
    <row r="51" spans="1:3" x14ac:dyDescent="0.25">
      <c r="A51" s="1"/>
      <c r="B51" s="1" t="s">
        <v>66</v>
      </c>
      <c r="C51" s="8">
        <v>50</v>
      </c>
    </row>
    <row r="52" spans="1:3" x14ac:dyDescent="0.25">
      <c r="A52" s="1"/>
      <c r="B52" t="s">
        <v>67</v>
      </c>
      <c r="C52" s="8">
        <v>50</v>
      </c>
    </row>
    <row r="53" spans="1:3" x14ac:dyDescent="0.25">
      <c r="A53" s="1"/>
      <c r="B53" t="s">
        <v>59</v>
      </c>
      <c r="C53" s="8">
        <v>50</v>
      </c>
    </row>
    <row r="54" spans="1:3" x14ac:dyDescent="0.25">
      <c r="A54" s="1"/>
      <c r="B54" t="s">
        <v>68</v>
      </c>
      <c r="C54" s="8">
        <v>50</v>
      </c>
    </row>
    <row r="55" spans="1:3" x14ac:dyDescent="0.25">
      <c r="A55" s="1"/>
      <c r="B55" t="s">
        <v>69</v>
      </c>
      <c r="C55" s="8">
        <v>50</v>
      </c>
    </row>
    <row r="56" spans="1:3" x14ac:dyDescent="0.25">
      <c r="A56" s="1"/>
      <c r="B56" t="s">
        <v>86</v>
      </c>
      <c r="C56" s="8">
        <v>50</v>
      </c>
    </row>
    <row r="57" spans="1:3" x14ac:dyDescent="0.25">
      <c r="A57" s="1"/>
      <c r="B57" t="s">
        <v>70</v>
      </c>
      <c r="C57" s="8">
        <v>50</v>
      </c>
    </row>
    <row r="58" spans="1:3" x14ac:dyDescent="0.25">
      <c r="A58" s="1"/>
      <c r="B58" t="s">
        <v>77</v>
      </c>
      <c r="C58" s="8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8"/>
  <sheetViews>
    <sheetView showGridLines="0" zoomScale="70" zoomScaleNormal="70" workbookViewId="0">
      <selection activeCell="N34" sqref="N34"/>
    </sheetView>
  </sheetViews>
  <sheetFormatPr defaultRowHeight="11.5" x14ac:dyDescent="0.25"/>
  <cols>
    <col min="1" max="1" width="13.26953125" customWidth="1"/>
    <col min="2" max="2" width="12.08984375" customWidth="1"/>
    <col min="3" max="3" width="10.6328125" customWidth="1"/>
    <col min="4" max="4" width="13.6328125" customWidth="1"/>
    <col min="6" max="6" width="14.08984375" customWidth="1"/>
    <col min="7" max="7" width="10.453125" customWidth="1"/>
    <col min="8" max="8" width="10.7265625" customWidth="1"/>
    <col min="9" max="9" width="10.453125" customWidth="1"/>
    <col min="10" max="10" width="13.08984375" customWidth="1"/>
    <col min="13" max="13" width="10.08984375" customWidth="1"/>
    <col min="15" max="15" width="9.453125" bestFit="1" customWidth="1"/>
  </cols>
  <sheetData>
    <row r="1" spans="1:16" ht="19.5" x14ac:dyDescent="0.35">
      <c r="A1" s="6" t="s">
        <v>402</v>
      </c>
    </row>
    <row r="2" spans="1:16" x14ac:dyDescent="0.25">
      <c r="A2" s="5" t="s">
        <v>399</v>
      </c>
      <c r="D2" s="23"/>
      <c r="E2" s="23"/>
      <c r="F2" s="23"/>
      <c r="G2" s="23"/>
      <c r="H2" s="8"/>
      <c r="I2" s="23"/>
      <c r="J2" s="23"/>
      <c r="K2" s="23"/>
    </row>
    <row r="3" spans="1:16" x14ac:dyDescent="0.25">
      <c r="A3" s="5"/>
      <c r="D3" s="23"/>
      <c r="E3" s="23"/>
      <c r="F3" s="23"/>
      <c r="G3" s="23"/>
      <c r="H3" s="23"/>
      <c r="I3" s="23"/>
      <c r="J3" s="23"/>
      <c r="K3" s="16"/>
    </row>
    <row r="4" spans="1:16" x14ac:dyDescent="0.25">
      <c r="A4" s="65" t="s">
        <v>128</v>
      </c>
      <c r="B4" s="64"/>
      <c r="C4" s="64"/>
      <c r="D4" s="33"/>
      <c r="E4" s="34"/>
      <c r="F4" s="32" t="s">
        <v>130</v>
      </c>
      <c r="G4" s="196"/>
      <c r="H4" s="196"/>
      <c r="I4" s="196"/>
      <c r="J4" s="191"/>
      <c r="K4" s="191"/>
      <c r="L4" s="191"/>
      <c r="M4" s="191"/>
      <c r="N4" s="191"/>
      <c r="O4" s="191"/>
      <c r="P4" s="197"/>
    </row>
    <row r="5" spans="1:16" x14ac:dyDescent="0.25">
      <c r="A5" s="8"/>
      <c r="B5" s="8"/>
      <c r="C5" s="8"/>
      <c r="D5" s="8"/>
      <c r="E5" s="55"/>
      <c r="F5" s="56" t="s">
        <v>473</v>
      </c>
      <c r="G5" s="8"/>
      <c r="H5" s="1"/>
      <c r="I5" s="1">
        <v>2025</v>
      </c>
      <c r="J5" s="1">
        <v>2010</v>
      </c>
      <c r="K5" s="1" t="s">
        <v>306</v>
      </c>
      <c r="L5" s="1"/>
      <c r="M5" s="8" t="s">
        <v>231</v>
      </c>
      <c r="N5" s="1"/>
      <c r="O5" s="1"/>
      <c r="P5" s="160"/>
    </row>
    <row r="6" spans="1:16" x14ac:dyDescent="0.25">
      <c r="A6" s="8"/>
      <c r="B6" s="8"/>
      <c r="C6" s="8"/>
      <c r="D6" s="8"/>
      <c r="E6" s="55"/>
      <c r="F6" s="56"/>
      <c r="G6" s="8"/>
      <c r="H6" s="8" t="s">
        <v>186</v>
      </c>
      <c r="I6" s="8" t="s">
        <v>185</v>
      </c>
      <c r="J6" s="8" t="s">
        <v>185</v>
      </c>
      <c r="K6" s="8" t="s">
        <v>305</v>
      </c>
      <c r="L6" s="1"/>
      <c r="M6" s="1" t="s">
        <v>229</v>
      </c>
      <c r="N6" s="1" t="s">
        <v>230</v>
      </c>
      <c r="O6" s="1" t="s">
        <v>13</v>
      </c>
      <c r="P6" s="160"/>
    </row>
    <row r="7" spans="1:16" x14ac:dyDescent="0.25">
      <c r="A7" s="23" t="s">
        <v>397</v>
      </c>
      <c r="B7" s="23"/>
      <c r="C7" s="23"/>
      <c r="F7" s="56" t="s">
        <v>167</v>
      </c>
      <c r="G7" s="1" t="s">
        <v>176</v>
      </c>
      <c r="H7" s="1">
        <v>6930</v>
      </c>
      <c r="I7" s="16">
        <f>H7/12</f>
        <v>577.5</v>
      </c>
      <c r="J7" s="15">
        <f>5298/12</f>
        <v>441.5</v>
      </c>
      <c r="K7" s="205">
        <f>EXP(LN(I7/J7)/15)</f>
        <v>1.0180632299725643</v>
      </c>
      <c r="L7" s="1"/>
      <c r="M7" s="15">
        <f>795*12*365/1000</f>
        <v>3482.1</v>
      </c>
      <c r="N7" s="1">
        <v>4545</v>
      </c>
      <c r="O7" s="1">
        <f>M7/N7</f>
        <v>0.76613861386138615</v>
      </c>
      <c r="P7" s="160"/>
    </row>
    <row r="8" spans="1:16" x14ac:dyDescent="0.25">
      <c r="A8" s="8" t="s">
        <v>396</v>
      </c>
      <c r="B8" s="23"/>
      <c r="C8" s="23"/>
      <c r="F8" s="56" t="s">
        <v>168</v>
      </c>
      <c r="G8" s="1" t="s">
        <v>177</v>
      </c>
      <c r="H8" s="27">
        <v>18000</v>
      </c>
      <c r="I8" s="16">
        <f t="shared" ref="I8:I16" si="0">H8/12</f>
        <v>1500</v>
      </c>
      <c r="J8" s="15">
        <f>4348/12</f>
        <v>362.33333333333331</v>
      </c>
      <c r="K8" s="205">
        <f t="shared" ref="K8:K16" si="1">EXP(LN(I8/J8)/15)</f>
        <v>1.0993404245397451</v>
      </c>
      <c r="L8" s="1"/>
      <c r="M8" s="15">
        <f>651*12*365/1000</f>
        <v>2851.38</v>
      </c>
      <c r="N8" s="1">
        <v>3996</v>
      </c>
      <c r="O8" s="1">
        <f t="shared" ref="O8:O16" si="2">M8/N8</f>
        <v>0.71355855855855854</v>
      </c>
      <c r="P8" s="160"/>
    </row>
    <row r="9" spans="1:16" x14ac:dyDescent="0.25">
      <c r="B9" s="8"/>
      <c r="C9" s="8"/>
      <c r="D9" s="8"/>
      <c r="E9" s="55"/>
      <c r="F9" s="56" t="s">
        <v>169</v>
      </c>
      <c r="G9" s="57" t="s">
        <v>178</v>
      </c>
      <c r="H9" s="16">
        <v>3366</v>
      </c>
      <c r="I9" s="16">
        <f t="shared" si="0"/>
        <v>280.5</v>
      </c>
      <c r="J9" s="15">
        <f>2553/12</f>
        <v>212.75</v>
      </c>
      <c r="K9" s="205">
        <f t="shared" si="1"/>
        <v>1.0186012851673278</v>
      </c>
      <c r="L9" s="1"/>
      <c r="M9" s="15">
        <f>376*12*365/1000</f>
        <v>1646.88</v>
      </c>
      <c r="N9" s="1">
        <v>1971</v>
      </c>
      <c r="O9" s="1">
        <f t="shared" si="2"/>
        <v>0.83555555555555561</v>
      </c>
      <c r="P9" s="160"/>
    </row>
    <row r="10" spans="1:16" x14ac:dyDescent="0.25">
      <c r="A10" s="8"/>
      <c r="B10" s="8"/>
      <c r="C10" s="8"/>
      <c r="D10" s="8"/>
      <c r="E10" s="55"/>
      <c r="F10" s="56" t="s">
        <v>475</v>
      </c>
      <c r="G10" s="8" t="s">
        <v>179</v>
      </c>
      <c r="H10" s="27">
        <v>26157</v>
      </c>
      <c r="I10" s="16">
        <f>H10/12</f>
        <v>2179.75</v>
      </c>
      <c r="J10" s="16">
        <f>9437/12</f>
        <v>786.41666666666663</v>
      </c>
      <c r="K10" s="205">
        <f t="shared" si="1"/>
        <v>1.0703281109389675</v>
      </c>
      <c r="L10" s="1"/>
      <c r="M10" s="15">
        <f>1217*12*365/1000</f>
        <v>5330.46</v>
      </c>
      <c r="N10" s="1">
        <v>6929</v>
      </c>
      <c r="O10" s="1">
        <f t="shared" si="2"/>
        <v>0.76929715687689426</v>
      </c>
      <c r="P10" s="160"/>
    </row>
    <row r="11" spans="1:16" x14ac:dyDescent="0.25">
      <c r="A11" s="233" t="s">
        <v>476</v>
      </c>
      <c r="B11" s="8"/>
      <c r="C11" s="8"/>
      <c r="D11" s="16"/>
      <c r="E11" s="55"/>
      <c r="F11" s="56" t="s">
        <v>170</v>
      </c>
      <c r="G11" s="8" t="s">
        <v>180</v>
      </c>
      <c r="H11" s="8">
        <v>292593</v>
      </c>
      <c r="I11" s="16">
        <f t="shared" si="0"/>
        <v>24382.75</v>
      </c>
      <c r="J11" s="1">
        <v>22083</v>
      </c>
      <c r="K11" s="205">
        <f t="shared" si="1"/>
        <v>1.0066263801723117</v>
      </c>
      <c r="L11" s="1"/>
      <c r="M11" s="15">
        <f>41475*12*365/1000</f>
        <v>181660.5</v>
      </c>
      <c r="N11" s="1">
        <v>281141</v>
      </c>
      <c r="O11" s="1">
        <f t="shared" si="2"/>
        <v>0.64615442073550278</v>
      </c>
      <c r="P11" s="160"/>
    </row>
    <row r="12" spans="1:16" x14ac:dyDescent="0.25">
      <c r="A12" s="8"/>
      <c r="B12" s="8"/>
      <c r="C12" s="8"/>
      <c r="D12" s="8"/>
      <c r="E12" s="55"/>
      <c r="F12" s="56" t="s">
        <v>171</v>
      </c>
      <c r="G12" s="8" t="s">
        <v>181</v>
      </c>
      <c r="H12" s="8">
        <v>4793</v>
      </c>
      <c r="I12" s="16">
        <f t="shared" si="0"/>
        <v>399.41666666666669</v>
      </c>
      <c r="J12" s="15">
        <f>3956/12</f>
        <v>329.66666666666669</v>
      </c>
      <c r="K12" s="205">
        <f t="shared" si="1"/>
        <v>1.012877078383531</v>
      </c>
      <c r="L12" s="1"/>
      <c r="M12" s="15">
        <f>531*12*365/1000</f>
        <v>2325.7800000000002</v>
      </c>
      <c r="N12" s="1">
        <v>3373</v>
      </c>
      <c r="O12" s="1">
        <f t="shared" si="2"/>
        <v>0.68952860954639794</v>
      </c>
      <c r="P12" s="160"/>
    </row>
    <row r="13" spans="1:16" x14ac:dyDescent="0.25">
      <c r="A13" s="8"/>
      <c r="B13" s="8"/>
      <c r="C13" s="8"/>
      <c r="D13" s="8"/>
      <c r="E13" s="55"/>
      <c r="F13" s="56" t="s">
        <v>172</v>
      </c>
      <c r="G13" s="8" t="s">
        <v>398</v>
      </c>
      <c r="H13" s="8">
        <v>29496</v>
      </c>
      <c r="I13" s="16">
        <f t="shared" si="0"/>
        <v>2458</v>
      </c>
      <c r="J13" s="1"/>
      <c r="K13" s="205"/>
      <c r="L13" s="1"/>
      <c r="M13" s="15">
        <f>1217*12*365/1000</f>
        <v>5330.46</v>
      </c>
      <c r="N13" s="1"/>
      <c r="O13" s="1"/>
      <c r="P13" s="160"/>
    </row>
    <row r="14" spans="1:16" x14ac:dyDescent="0.25">
      <c r="A14" s="23"/>
      <c r="B14" s="8"/>
      <c r="C14" s="8"/>
      <c r="D14" s="8"/>
      <c r="E14" s="55"/>
      <c r="F14" s="56" t="s">
        <v>173</v>
      </c>
      <c r="G14" s="8" t="s">
        <v>182</v>
      </c>
      <c r="H14" s="8">
        <v>22440</v>
      </c>
      <c r="I14" s="16">
        <f t="shared" si="0"/>
        <v>1870</v>
      </c>
      <c r="J14" s="15">
        <f>11458/12</f>
        <v>954.83333333333337</v>
      </c>
      <c r="K14" s="205">
        <f t="shared" si="1"/>
        <v>1.0458296149019233</v>
      </c>
      <c r="L14" s="1"/>
      <c r="M14" s="15">
        <f>879*12*365/1000</f>
        <v>3850.02</v>
      </c>
      <c r="N14" s="1">
        <v>5021</v>
      </c>
      <c r="O14" s="1">
        <f t="shared" si="2"/>
        <v>0.76678350926110339</v>
      </c>
      <c r="P14" s="160"/>
    </row>
    <row r="15" spans="1:16" x14ac:dyDescent="0.25">
      <c r="A15" s="8"/>
      <c r="B15" s="8"/>
      <c r="C15" s="8"/>
      <c r="D15" s="8"/>
      <c r="E15" s="55"/>
      <c r="F15" s="56" t="s">
        <v>174</v>
      </c>
      <c r="G15" s="8" t="s">
        <v>183</v>
      </c>
      <c r="H15" s="27">
        <v>29388</v>
      </c>
      <c r="I15" s="16">
        <f t="shared" si="0"/>
        <v>2449</v>
      </c>
      <c r="J15" s="15">
        <f>12435/12</f>
        <v>1036.25</v>
      </c>
      <c r="K15" s="205">
        <f t="shared" si="1"/>
        <v>1.0590137918854903</v>
      </c>
      <c r="L15" s="1"/>
      <c r="M15" s="15">
        <f>2345*12*365/1000</f>
        <v>10271.1</v>
      </c>
      <c r="N15" s="1">
        <v>13592</v>
      </c>
      <c r="O15" s="1">
        <f t="shared" si="2"/>
        <v>0.75567245438493236</v>
      </c>
      <c r="P15" s="160"/>
    </row>
    <row r="16" spans="1:16" x14ac:dyDescent="0.25">
      <c r="A16" s="84"/>
      <c r="B16" s="8"/>
      <c r="C16" s="8"/>
      <c r="D16" s="8"/>
      <c r="E16" s="55"/>
      <c r="F16" s="56" t="s">
        <v>175</v>
      </c>
      <c r="G16" s="8" t="s">
        <v>184</v>
      </c>
      <c r="H16" s="8">
        <v>24667</v>
      </c>
      <c r="I16" s="16">
        <f t="shared" si="0"/>
        <v>2055.5833333333335</v>
      </c>
      <c r="J16" s="15">
        <f>18853/12</f>
        <v>1571.0833333333333</v>
      </c>
      <c r="K16" s="205">
        <f t="shared" si="1"/>
        <v>1.0180811373995196</v>
      </c>
      <c r="L16" s="1"/>
      <c r="M16" s="15">
        <f>1860*12*365/1000</f>
        <v>8146.8</v>
      </c>
      <c r="N16" s="1">
        <v>14208</v>
      </c>
      <c r="O16" s="1">
        <f t="shared" si="2"/>
        <v>0.57339527027027026</v>
      </c>
      <c r="P16" s="160"/>
    </row>
    <row r="17" spans="1:16" x14ac:dyDescent="0.25">
      <c r="A17" s="8"/>
      <c r="B17" s="8"/>
      <c r="C17" s="8"/>
      <c r="D17" s="8"/>
      <c r="E17" s="55"/>
      <c r="F17" s="56"/>
      <c r="G17" s="8"/>
      <c r="H17" s="8"/>
      <c r="I17" s="8"/>
      <c r="J17" s="1"/>
      <c r="K17" s="1"/>
      <c r="L17" s="1"/>
      <c r="M17" s="1"/>
      <c r="N17" s="1"/>
      <c r="O17" s="1"/>
      <c r="P17" s="160"/>
    </row>
    <row r="18" spans="1:16" x14ac:dyDescent="0.25">
      <c r="A18" s="59"/>
      <c r="B18" s="59"/>
      <c r="C18" s="59"/>
      <c r="D18" s="38"/>
      <c r="E18" s="39"/>
      <c r="F18" s="229" t="s">
        <v>474</v>
      </c>
      <c r="G18" s="156"/>
      <c r="H18" s="156"/>
      <c r="I18" s="156"/>
      <c r="J18" s="198"/>
      <c r="K18" s="198"/>
      <c r="L18" s="198"/>
      <c r="M18" s="198"/>
      <c r="N18" s="198"/>
      <c r="O18" s="198"/>
      <c r="P18" s="199"/>
    </row>
    <row r="19" spans="1:16" x14ac:dyDescent="0.25">
      <c r="A19" s="5"/>
      <c r="D19" s="23"/>
      <c r="K19" s="16"/>
    </row>
    <row r="20" spans="1:16" ht="40.9" customHeight="1" x14ac:dyDescent="0.25">
      <c r="A20" s="9" t="s">
        <v>111</v>
      </c>
      <c r="B20" s="9" t="s">
        <v>166</v>
      </c>
      <c r="C20" s="96">
        <f>SUM(C23:C34)</f>
        <v>9437</v>
      </c>
      <c r="D20" s="96">
        <f t="shared" ref="D20:K20" si="3">SUM(D23:D34)</f>
        <v>5298</v>
      </c>
      <c r="E20" s="96">
        <f t="shared" si="3"/>
        <v>2553</v>
      </c>
      <c r="F20" s="96">
        <f t="shared" si="3"/>
        <v>4348.0000000000009</v>
      </c>
      <c r="G20" s="96">
        <f t="shared" si="3"/>
        <v>3955.9999999999995</v>
      </c>
      <c r="H20" s="96">
        <f t="shared" si="3"/>
        <v>11458.000000000002</v>
      </c>
      <c r="I20" s="96">
        <f t="shared" si="3"/>
        <v>18853</v>
      </c>
      <c r="J20" s="96">
        <f t="shared" si="3"/>
        <v>12435</v>
      </c>
      <c r="K20" s="96">
        <f t="shared" si="3"/>
        <v>265000.00000000006</v>
      </c>
    </row>
    <row r="21" spans="1:16" x14ac:dyDescent="0.25">
      <c r="A21" s="3" t="s">
        <v>2</v>
      </c>
      <c r="B21" s="2"/>
      <c r="C21" s="7" t="s">
        <v>87</v>
      </c>
      <c r="N21" s="23"/>
    </row>
    <row r="22" spans="1:16" ht="12" thickBot="1" x14ac:dyDescent="0.3">
      <c r="A22" s="49"/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  <c r="N22" s="23"/>
    </row>
    <row r="23" spans="1:16" x14ac:dyDescent="0.25">
      <c r="A23" s="18">
        <v>2010</v>
      </c>
      <c r="B23" s="8" t="s">
        <v>33</v>
      </c>
      <c r="C23" s="16">
        <f>9437/12</f>
        <v>786.41666666666663</v>
      </c>
      <c r="D23" s="15">
        <f>5298/12</f>
        <v>441.5</v>
      </c>
      <c r="E23" s="15">
        <f>2553/12</f>
        <v>212.75</v>
      </c>
      <c r="F23" s="15">
        <f>4348/12</f>
        <v>362.33333333333331</v>
      </c>
      <c r="G23" s="15">
        <f>3956/12</f>
        <v>329.66666666666669</v>
      </c>
      <c r="H23" s="15">
        <f>11458/12</f>
        <v>954.83333333333337</v>
      </c>
      <c r="I23" s="15">
        <f>18853/12</f>
        <v>1571.0833333333333</v>
      </c>
      <c r="J23" s="15">
        <f>12435/12</f>
        <v>1036.25</v>
      </c>
      <c r="K23" s="54">
        <f>265000/12</f>
        <v>22083.333333333332</v>
      </c>
      <c r="L23" s="15"/>
      <c r="M23" s="15"/>
      <c r="N23" s="54"/>
    </row>
    <row r="24" spans="1:16" x14ac:dyDescent="0.25">
      <c r="A24" s="18"/>
      <c r="B24" s="8" t="s">
        <v>34</v>
      </c>
      <c r="C24" s="16">
        <f t="shared" ref="C24:C34" si="4">9437/12</f>
        <v>786.41666666666663</v>
      </c>
      <c r="D24" s="15">
        <f t="shared" ref="D24:D34" si="5">5298/12</f>
        <v>441.5</v>
      </c>
      <c r="E24" s="15">
        <f t="shared" ref="E24:E34" si="6">2553/12</f>
        <v>212.75</v>
      </c>
      <c r="F24" s="15">
        <f t="shared" ref="F24:F34" si="7">4348/12</f>
        <v>362.33333333333331</v>
      </c>
      <c r="G24" s="15">
        <f t="shared" ref="G24:G34" si="8">3956/12</f>
        <v>329.66666666666669</v>
      </c>
      <c r="H24" s="15">
        <f t="shared" ref="H24:H34" si="9">11458/12</f>
        <v>954.83333333333337</v>
      </c>
      <c r="I24" s="15">
        <f t="shared" ref="I24:I34" si="10">18853/12</f>
        <v>1571.0833333333333</v>
      </c>
      <c r="J24" s="15">
        <f t="shared" ref="J24:J34" si="11">12435/12</f>
        <v>1036.25</v>
      </c>
      <c r="K24" s="54">
        <f t="shared" ref="K24:K34" si="12">265000/12</f>
        <v>22083.333333333332</v>
      </c>
      <c r="L24" s="15"/>
      <c r="M24" s="15"/>
      <c r="N24" s="54"/>
    </row>
    <row r="25" spans="1:16" x14ac:dyDescent="0.25">
      <c r="A25" s="18"/>
      <c r="B25" s="8" t="s">
        <v>35</v>
      </c>
      <c r="C25" s="16">
        <f t="shared" si="4"/>
        <v>786.41666666666663</v>
      </c>
      <c r="D25" s="15">
        <f t="shared" si="5"/>
        <v>441.5</v>
      </c>
      <c r="E25" s="15">
        <f t="shared" si="6"/>
        <v>212.75</v>
      </c>
      <c r="F25" s="15">
        <f t="shared" si="7"/>
        <v>362.33333333333331</v>
      </c>
      <c r="G25" s="15">
        <f t="shared" si="8"/>
        <v>329.66666666666669</v>
      </c>
      <c r="H25" s="15">
        <f t="shared" si="9"/>
        <v>954.83333333333337</v>
      </c>
      <c r="I25" s="15">
        <f t="shared" si="10"/>
        <v>1571.0833333333333</v>
      </c>
      <c r="J25" s="15">
        <f t="shared" si="11"/>
        <v>1036.25</v>
      </c>
      <c r="K25" s="54">
        <f t="shared" si="12"/>
        <v>22083.333333333332</v>
      </c>
      <c r="L25" s="15"/>
      <c r="M25" s="15"/>
      <c r="N25" s="54"/>
    </row>
    <row r="26" spans="1:16" x14ac:dyDescent="0.25">
      <c r="A26" s="18"/>
      <c r="B26" s="8" t="s">
        <v>36</v>
      </c>
      <c r="C26" s="16">
        <f t="shared" si="4"/>
        <v>786.41666666666663</v>
      </c>
      <c r="D26" s="15">
        <f t="shared" si="5"/>
        <v>441.5</v>
      </c>
      <c r="E26" s="15">
        <f t="shared" si="6"/>
        <v>212.75</v>
      </c>
      <c r="F26" s="15">
        <f t="shared" si="7"/>
        <v>362.33333333333331</v>
      </c>
      <c r="G26" s="15">
        <f t="shared" si="8"/>
        <v>329.66666666666669</v>
      </c>
      <c r="H26" s="15">
        <f t="shared" si="9"/>
        <v>954.83333333333337</v>
      </c>
      <c r="I26" s="15">
        <f t="shared" si="10"/>
        <v>1571.0833333333333</v>
      </c>
      <c r="J26" s="15">
        <f t="shared" si="11"/>
        <v>1036.25</v>
      </c>
      <c r="K26" s="54">
        <f t="shared" si="12"/>
        <v>22083.333333333332</v>
      </c>
      <c r="L26" s="15"/>
      <c r="M26" s="15"/>
      <c r="N26" s="54"/>
    </row>
    <row r="27" spans="1:16" x14ac:dyDescent="0.25">
      <c r="A27" s="18"/>
      <c r="B27" s="8" t="s">
        <v>109</v>
      </c>
      <c r="C27" s="16">
        <f t="shared" si="4"/>
        <v>786.41666666666663</v>
      </c>
      <c r="D27" s="15">
        <f t="shared" si="5"/>
        <v>441.5</v>
      </c>
      <c r="E27" s="15">
        <f t="shared" si="6"/>
        <v>212.75</v>
      </c>
      <c r="F27" s="15">
        <f t="shared" si="7"/>
        <v>362.33333333333331</v>
      </c>
      <c r="G27" s="15">
        <f t="shared" si="8"/>
        <v>329.66666666666669</v>
      </c>
      <c r="H27" s="15">
        <f t="shared" si="9"/>
        <v>954.83333333333337</v>
      </c>
      <c r="I27" s="15">
        <f t="shared" si="10"/>
        <v>1571.0833333333333</v>
      </c>
      <c r="J27" s="15">
        <f t="shared" si="11"/>
        <v>1036.25</v>
      </c>
      <c r="K27" s="54">
        <f t="shared" si="12"/>
        <v>22083.333333333332</v>
      </c>
      <c r="L27" s="15"/>
      <c r="M27" s="15"/>
      <c r="N27" s="54"/>
    </row>
    <row r="28" spans="1:16" x14ac:dyDescent="0.25">
      <c r="A28" s="18"/>
      <c r="B28" s="8" t="s">
        <v>37</v>
      </c>
      <c r="C28" s="16">
        <f t="shared" si="4"/>
        <v>786.41666666666663</v>
      </c>
      <c r="D28" s="15">
        <f t="shared" si="5"/>
        <v>441.5</v>
      </c>
      <c r="E28" s="15">
        <f t="shared" si="6"/>
        <v>212.75</v>
      </c>
      <c r="F28" s="15">
        <f t="shared" si="7"/>
        <v>362.33333333333331</v>
      </c>
      <c r="G28" s="15">
        <f t="shared" si="8"/>
        <v>329.66666666666669</v>
      </c>
      <c r="H28" s="15">
        <f t="shared" si="9"/>
        <v>954.83333333333337</v>
      </c>
      <c r="I28" s="15">
        <f t="shared" si="10"/>
        <v>1571.0833333333333</v>
      </c>
      <c r="J28" s="15">
        <f t="shared" si="11"/>
        <v>1036.25</v>
      </c>
      <c r="K28" s="54">
        <f t="shared" si="12"/>
        <v>22083.333333333332</v>
      </c>
      <c r="L28" s="15"/>
      <c r="M28" s="15"/>
      <c r="N28" s="54"/>
    </row>
    <row r="29" spans="1:16" x14ac:dyDescent="0.25">
      <c r="A29" s="18"/>
      <c r="B29" s="8" t="s">
        <v>38</v>
      </c>
      <c r="C29" s="16">
        <f t="shared" si="4"/>
        <v>786.41666666666663</v>
      </c>
      <c r="D29" s="15">
        <f t="shared" si="5"/>
        <v>441.5</v>
      </c>
      <c r="E29" s="15">
        <f t="shared" si="6"/>
        <v>212.75</v>
      </c>
      <c r="F29" s="15">
        <f t="shared" si="7"/>
        <v>362.33333333333331</v>
      </c>
      <c r="G29" s="15">
        <f t="shared" si="8"/>
        <v>329.66666666666669</v>
      </c>
      <c r="H29" s="15">
        <f t="shared" si="9"/>
        <v>954.83333333333337</v>
      </c>
      <c r="I29" s="15">
        <f t="shared" si="10"/>
        <v>1571.0833333333333</v>
      </c>
      <c r="J29" s="15">
        <f t="shared" si="11"/>
        <v>1036.25</v>
      </c>
      <c r="K29" s="54">
        <f t="shared" si="12"/>
        <v>22083.333333333332</v>
      </c>
      <c r="L29" s="15"/>
      <c r="M29" s="15"/>
      <c r="N29" s="54"/>
    </row>
    <row r="30" spans="1:16" x14ac:dyDescent="0.25">
      <c r="A30" s="18"/>
      <c r="B30" s="8" t="s">
        <v>39</v>
      </c>
      <c r="C30" s="16">
        <f t="shared" si="4"/>
        <v>786.41666666666663</v>
      </c>
      <c r="D30" s="15">
        <f t="shared" si="5"/>
        <v>441.5</v>
      </c>
      <c r="E30" s="15">
        <f t="shared" si="6"/>
        <v>212.75</v>
      </c>
      <c r="F30" s="15">
        <f t="shared" si="7"/>
        <v>362.33333333333331</v>
      </c>
      <c r="G30" s="15">
        <f t="shared" si="8"/>
        <v>329.66666666666669</v>
      </c>
      <c r="H30" s="15">
        <f t="shared" si="9"/>
        <v>954.83333333333337</v>
      </c>
      <c r="I30" s="15">
        <f t="shared" si="10"/>
        <v>1571.0833333333333</v>
      </c>
      <c r="J30" s="15">
        <f t="shared" si="11"/>
        <v>1036.25</v>
      </c>
      <c r="K30" s="54">
        <f t="shared" si="12"/>
        <v>22083.333333333332</v>
      </c>
      <c r="L30" s="15"/>
      <c r="M30" s="15"/>
      <c r="N30" s="54"/>
    </row>
    <row r="31" spans="1:16" x14ac:dyDescent="0.25">
      <c r="A31" s="18"/>
      <c r="B31" s="8" t="s">
        <v>40</v>
      </c>
      <c r="C31" s="16">
        <f t="shared" si="4"/>
        <v>786.41666666666663</v>
      </c>
      <c r="D31" s="15">
        <f t="shared" si="5"/>
        <v>441.5</v>
      </c>
      <c r="E31" s="15">
        <f t="shared" si="6"/>
        <v>212.75</v>
      </c>
      <c r="F31" s="15">
        <f t="shared" si="7"/>
        <v>362.33333333333331</v>
      </c>
      <c r="G31" s="15">
        <f t="shared" si="8"/>
        <v>329.66666666666669</v>
      </c>
      <c r="H31" s="15">
        <f t="shared" si="9"/>
        <v>954.83333333333337</v>
      </c>
      <c r="I31" s="15">
        <f t="shared" si="10"/>
        <v>1571.0833333333333</v>
      </c>
      <c r="J31" s="15">
        <f t="shared" si="11"/>
        <v>1036.25</v>
      </c>
      <c r="K31" s="54">
        <f t="shared" si="12"/>
        <v>22083.333333333332</v>
      </c>
      <c r="L31" s="15"/>
      <c r="M31" s="15"/>
      <c r="N31" s="54"/>
    </row>
    <row r="32" spans="1:16" x14ac:dyDescent="0.25">
      <c r="A32" s="18"/>
      <c r="B32" s="8" t="s">
        <v>107</v>
      </c>
      <c r="C32" s="16">
        <f t="shared" si="4"/>
        <v>786.41666666666663</v>
      </c>
      <c r="D32" s="15">
        <f t="shared" si="5"/>
        <v>441.5</v>
      </c>
      <c r="E32" s="15">
        <f t="shared" si="6"/>
        <v>212.75</v>
      </c>
      <c r="F32" s="15">
        <f t="shared" si="7"/>
        <v>362.33333333333331</v>
      </c>
      <c r="G32" s="15">
        <f t="shared" si="8"/>
        <v>329.66666666666669</v>
      </c>
      <c r="H32" s="15">
        <f t="shared" si="9"/>
        <v>954.83333333333337</v>
      </c>
      <c r="I32" s="15">
        <f t="shared" si="10"/>
        <v>1571.0833333333333</v>
      </c>
      <c r="J32" s="15">
        <f t="shared" si="11"/>
        <v>1036.25</v>
      </c>
      <c r="K32" s="54">
        <f t="shared" si="12"/>
        <v>22083.333333333332</v>
      </c>
      <c r="L32" s="15"/>
      <c r="M32" s="15"/>
      <c r="N32" s="54"/>
    </row>
    <row r="33" spans="1:14" x14ac:dyDescent="0.25">
      <c r="A33" s="18"/>
      <c r="B33" s="8" t="s">
        <v>41</v>
      </c>
      <c r="C33" s="16">
        <f t="shared" si="4"/>
        <v>786.41666666666663</v>
      </c>
      <c r="D33" s="15">
        <f t="shared" si="5"/>
        <v>441.5</v>
      </c>
      <c r="E33" s="15">
        <f t="shared" si="6"/>
        <v>212.75</v>
      </c>
      <c r="F33" s="15">
        <f t="shared" si="7"/>
        <v>362.33333333333331</v>
      </c>
      <c r="G33" s="15">
        <f t="shared" si="8"/>
        <v>329.66666666666669</v>
      </c>
      <c r="H33" s="15">
        <f t="shared" si="9"/>
        <v>954.83333333333337</v>
      </c>
      <c r="I33" s="15">
        <f t="shared" si="10"/>
        <v>1571.0833333333333</v>
      </c>
      <c r="J33" s="15">
        <f t="shared" si="11"/>
        <v>1036.25</v>
      </c>
      <c r="K33" s="54">
        <f t="shared" si="12"/>
        <v>22083.333333333332</v>
      </c>
      <c r="L33" s="15"/>
      <c r="M33" s="15"/>
      <c r="N33" s="54"/>
    </row>
    <row r="34" spans="1:14" x14ac:dyDescent="0.25">
      <c r="A34" s="58"/>
      <c r="B34" s="59" t="s">
        <v>108</v>
      </c>
      <c r="C34" s="60">
        <f t="shared" si="4"/>
        <v>786.41666666666663</v>
      </c>
      <c r="D34" s="61">
        <f t="shared" si="5"/>
        <v>441.5</v>
      </c>
      <c r="E34" s="61">
        <f t="shared" si="6"/>
        <v>212.75</v>
      </c>
      <c r="F34" s="61">
        <f t="shared" si="7"/>
        <v>362.33333333333331</v>
      </c>
      <c r="G34" s="61">
        <f t="shared" si="8"/>
        <v>329.66666666666669</v>
      </c>
      <c r="H34" s="61">
        <f t="shared" si="9"/>
        <v>954.83333333333337</v>
      </c>
      <c r="I34" s="61">
        <f t="shared" si="10"/>
        <v>1571.0833333333333</v>
      </c>
      <c r="J34" s="61">
        <f t="shared" si="11"/>
        <v>1036.25</v>
      </c>
      <c r="K34" s="230">
        <f t="shared" si="12"/>
        <v>22083.333333333332</v>
      </c>
      <c r="L34" s="15"/>
      <c r="M34" s="15"/>
      <c r="N34" s="54"/>
    </row>
    <row r="35" spans="1:14" x14ac:dyDescent="0.25">
      <c r="A35" s="29">
        <v>2025</v>
      </c>
      <c r="B35" s="8" t="s">
        <v>33</v>
      </c>
      <c r="C35" s="16">
        <v>1362.0833333333333</v>
      </c>
      <c r="D35" s="16">
        <v>577.5</v>
      </c>
      <c r="E35" s="16">
        <v>280.5</v>
      </c>
      <c r="F35" s="16">
        <v>533.33333333333337</v>
      </c>
      <c r="G35" s="16">
        <v>399.41666666666669</v>
      </c>
      <c r="H35" s="16">
        <v>1870</v>
      </c>
      <c r="I35" s="16">
        <v>2055.5833333333335</v>
      </c>
      <c r="J35" s="16">
        <v>1375</v>
      </c>
      <c r="K35" s="54">
        <v>24382.75</v>
      </c>
      <c r="N35" s="23"/>
    </row>
    <row r="36" spans="1:14" x14ac:dyDescent="0.25">
      <c r="A36" s="29"/>
      <c r="B36" s="8" t="s">
        <v>34</v>
      </c>
      <c r="C36" s="16">
        <v>1362.0833333333333</v>
      </c>
      <c r="D36" s="16">
        <v>577.5</v>
      </c>
      <c r="E36" s="16">
        <v>280.5</v>
      </c>
      <c r="F36" s="16">
        <v>533.33333333333337</v>
      </c>
      <c r="G36" s="16">
        <v>399.41666666666669</v>
      </c>
      <c r="H36" s="16">
        <v>1870</v>
      </c>
      <c r="I36" s="16">
        <v>2055.5833333333335</v>
      </c>
      <c r="J36" s="16">
        <v>1375</v>
      </c>
      <c r="K36" s="54">
        <v>24382.75</v>
      </c>
      <c r="N36" s="23"/>
    </row>
    <row r="37" spans="1:14" x14ac:dyDescent="0.25">
      <c r="A37" s="29"/>
      <c r="B37" s="8" t="s">
        <v>35</v>
      </c>
      <c r="C37" s="16">
        <v>1362.0833333333333</v>
      </c>
      <c r="D37" s="16">
        <v>577.5</v>
      </c>
      <c r="E37" s="16">
        <v>280.5</v>
      </c>
      <c r="F37" s="16">
        <v>533.33333333333337</v>
      </c>
      <c r="G37" s="16">
        <v>399.41666666666669</v>
      </c>
      <c r="H37" s="16">
        <v>1870</v>
      </c>
      <c r="I37" s="16">
        <v>2055.5833333333335</v>
      </c>
      <c r="J37" s="16">
        <v>1375</v>
      </c>
      <c r="K37" s="54">
        <v>24382.75</v>
      </c>
      <c r="N37" s="23"/>
    </row>
    <row r="38" spans="1:14" x14ac:dyDescent="0.25">
      <c r="A38" s="29"/>
      <c r="B38" s="8" t="s">
        <v>36</v>
      </c>
      <c r="C38" s="16">
        <v>1362.0833333333333</v>
      </c>
      <c r="D38" s="16">
        <v>577.5</v>
      </c>
      <c r="E38" s="16">
        <v>280.5</v>
      </c>
      <c r="F38" s="16">
        <v>533.33333333333337</v>
      </c>
      <c r="G38" s="16">
        <v>399.41666666666669</v>
      </c>
      <c r="H38" s="16">
        <v>1870</v>
      </c>
      <c r="I38" s="16">
        <v>2055.5833333333335</v>
      </c>
      <c r="J38" s="16">
        <v>1375</v>
      </c>
      <c r="K38" s="54">
        <v>24382.75</v>
      </c>
    </row>
    <row r="39" spans="1:14" x14ac:dyDescent="0.25">
      <c r="A39" s="29"/>
      <c r="B39" s="8" t="s">
        <v>109</v>
      </c>
      <c r="C39" s="16">
        <v>1362.0833333333333</v>
      </c>
      <c r="D39" s="16">
        <v>577.5</v>
      </c>
      <c r="E39" s="16">
        <v>280.5</v>
      </c>
      <c r="F39" s="16">
        <v>533.33333333333337</v>
      </c>
      <c r="G39" s="16">
        <v>399.41666666666669</v>
      </c>
      <c r="H39" s="16">
        <v>1870</v>
      </c>
      <c r="I39" s="16">
        <v>2055.5833333333335</v>
      </c>
      <c r="J39" s="16">
        <v>1375</v>
      </c>
      <c r="K39" s="54">
        <v>24382.75</v>
      </c>
    </row>
    <row r="40" spans="1:14" x14ac:dyDescent="0.25">
      <c r="A40" s="29"/>
      <c r="B40" s="8" t="s">
        <v>37</v>
      </c>
      <c r="C40" s="16">
        <v>1362.0833333333333</v>
      </c>
      <c r="D40" s="16">
        <v>577.5</v>
      </c>
      <c r="E40" s="16">
        <v>280.5</v>
      </c>
      <c r="F40" s="16">
        <v>533.33333333333337</v>
      </c>
      <c r="G40" s="16">
        <v>399.41666666666669</v>
      </c>
      <c r="H40" s="16">
        <v>1870</v>
      </c>
      <c r="I40" s="16">
        <v>2055.5833333333335</v>
      </c>
      <c r="J40" s="16">
        <v>1375</v>
      </c>
      <c r="K40" s="54">
        <v>24382.75</v>
      </c>
    </row>
    <row r="41" spans="1:14" x14ac:dyDescent="0.25">
      <c r="A41" s="29"/>
      <c r="B41" s="8" t="s">
        <v>38</v>
      </c>
      <c r="C41" s="16">
        <v>1362.0833333333333</v>
      </c>
      <c r="D41" s="16">
        <v>577.5</v>
      </c>
      <c r="E41" s="16">
        <v>280.5</v>
      </c>
      <c r="F41" s="16">
        <v>533.33333333333337</v>
      </c>
      <c r="G41" s="16">
        <v>399.41666666666669</v>
      </c>
      <c r="H41" s="16">
        <v>1870</v>
      </c>
      <c r="I41" s="16">
        <v>2055.5833333333335</v>
      </c>
      <c r="J41" s="16">
        <v>1375</v>
      </c>
      <c r="K41" s="54">
        <v>24382.75</v>
      </c>
    </row>
    <row r="42" spans="1:14" x14ac:dyDescent="0.25">
      <c r="A42" s="29"/>
      <c r="B42" s="8" t="s">
        <v>39</v>
      </c>
      <c r="C42" s="16">
        <v>1362.0833333333333</v>
      </c>
      <c r="D42" s="16">
        <v>577.5</v>
      </c>
      <c r="E42" s="16">
        <v>280.5</v>
      </c>
      <c r="F42" s="16">
        <v>533.33333333333337</v>
      </c>
      <c r="G42" s="16">
        <v>399.41666666666669</v>
      </c>
      <c r="H42" s="16">
        <v>1870</v>
      </c>
      <c r="I42" s="16">
        <v>2055.5833333333335</v>
      </c>
      <c r="J42" s="16">
        <v>1375</v>
      </c>
      <c r="K42" s="54">
        <v>24382.75</v>
      </c>
    </row>
    <row r="43" spans="1:14" x14ac:dyDescent="0.25">
      <c r="A43" s="29"/>
      <c r="B43" s="8" t="s">
        <v>40</v>
      </c>
      <c r="C43" s="16">
        <v>1362.0833333333333</v>
      </c>
      <c r="D43" s="16">
        <v>577.5</v>
      </c>
      <c r="E43" s="16">
        <v>280.5</v>
      </c>
      <c r="F43" s="16">
        <v>533.33333333333337</v>
      </c>
      <c r="G43" s="16">
        <v>399.41666666666669</v>
      </c>
      <c r="H43" s="16">
        <v>1870</v>
      </c>
      <c r="I43" s="16">
        <v>2055.5833333333335</v>
      </c>
      <c r="J43" s="16">
        <v>1375</v>
      </c>
      <c r="K43" s="54">
        <v>24382.75</v>
      </c>
    </row>
    <row r="44" spans="1:14" x14ac:dyDescent="0.25">
      <c r="A44" s="29"/>
      <c r="B44" s="8" t="s">
        <v>107</v>
      </c>
      <c r="C44" s="16">
        <v>1362.0833333333333</v>
      </c>
      <c r="D44" s="16">
        <v>577.5</v>
      </c>
      <c r="E44" s="16">
        <v>280.5</v>
      </c>
      <c r="F44" s="16">
        <v>533.33333333333337</v>
      </c>
      <c r="G44" s="16">
        <v>399.41666666666669</v>
      </c>
      <c r="H44" s="16">
        <v>1870</v>
      </c>
      <c r="I44" s="16">
        <v>2055.5833333333335</v>
      </c>
      <c r="J44" s="16">
        <v>1375</v>
      </c>
      <c r="K44" s="54">
        <v>24382.75</v>
      </c>
    </row>
    <row r="45" spans="1:14" x14ac:dyDescent="0.25">
      <c r="A45" s="29"/>
      <c r="B45" s="8" t="s">
        <v>41</v>
      </c>
      <c r="C45" s="16">
        <v>1362.0833333333333</v>
      </c>
      <c r="D45" s="16">
        <v>577.5</v>
      </c>
      <c r="E45" s="16">
        <v>280.5</v>
      </c>
      <c r="F45" s="16">
        <v>533.33333333333337</v>
      </c>
      <c r="G45" s="16">
        <v>399.41666666666669</v>
      </c>
      <c r="H45" s="16">
        <v>1870</v>
      </c>
      <c r="I45" s="16">
        <v>2055.5833333333335</v>
      </c>
      <c r="J45" s="16">
        <v>1375</v>
      </c>
      <c r="K45" s="54">
        <v>24382.75</v>
      </c>
    </row>
    <row r="46" spans="1:14" x14ac:dyDescent="0.25">
      <c r="A46" s="71"/>
      <c r="B46" s="59" t="s">
        <v>108</v>
      </c>
      <c r="C46" s="231">
        <v>1362.0833333333333</v>
      </c>
      <c r="D46" s="231">
        <v>577.5</v>
      </c>
      <c r="E46" s="231">
        <v>280.5</v>
      </c>
      <c r="F46" s="231">
        <v>533.33333333333337</v>
      </c>
      <c r="G46" s="231">
        <v>399.41666666666669</v>
      </c>
      <c r="H46" s="231">
        <v>1870</v>
      </c>
      <c r="I46" s="231">
        <v>2055.5833333333335</v>
      </c>
      <c r="J46" s="231">
        <v>1375</v>
      </c>
      <c r="K46" s="230">
        <v>24382.75</v>
      </c>
    </row>
    <row r="47" spans="1:14" x14ac:dyDescent="0.25">
      <c r="A47" s="232">
        <v>2040</v>
      </c>
      <c r="B47" s="8" t="s">
        <v>33</v>
      </c>
      <c r="C47" s="16">
        <v>1991.6666666666665</v>
      </c>
      <c r="D47" s="16">
        <v>625</v>
      </c>
      <c r="E47" s="16">
        <v>591.66666666666663</v>
      </c>
      <c r="F47" s="16">
        <v>983.33333333333337</v>
      </c>
      <c r="G47" s="16">
        <v>691.66666666666674</v>
      </c>
      <c r="H47" s="16">
        <v>2816.6666666666665</v>
      </c>
      <c r="I47" s="16">
        <v>4433.3333333333339</v>
      </c>
      <c r="J47" s="16">
        <v>2508.3333333333335</v>
      </c>
      <c r="K47" s="54">
        <v>43375</v>
      </c>
    </row>
    <row r="48" spans="1:14" x14ac:dyDescent="0.25">
      <c r="A48" s="8"/>
      <c r="B48" s="8" t="s">
        <v>34</v>
      </c>
      <c r="C48" s="16">
        <v>1991.6666666666665</v>
      </c>
      <c r="D48" s="16">
        <v>625</v>
      </c>
      <c r="E48" s="16">
        <v>591.66666666666663</v>
      </c>
      <c r="F48" s="16">
        <v>983.33333333333337</v>
      </c>
      <c r="G48" s="16">
        <v>691.66666666666674</v>
      </c>
      <c r="H48" s="16">
        <v>2816.6666666666665</v>
      </c>
      <c r="I48" s="16">
        <v>4433.3333333333339</v>
      </c>
      <c r="J48" s="16">
        <v>2508.3333333333335</v>
      </c>
      <c r="K48" s="54">
        <v>43375</v>
      </c>
    </row>
    <row r="49" spans="1:11" x14ac:dyDescent="0.25">
      <c r="A49" s="8"/>
      <c r="B49" s="8" t="s">
        <v>35</v>
      </c>
      <c r="C49" s="16">
        <v>1991.6666666666665</v>
      </c>
      <c r="D49" s="16">
        <v>625</v>
      </c>
      <c r="E49" s="16">
        <v>591.66666666666663</v>
      </c>
      <c r="F49" s="16">
        <v>983.33333333333337</v>
      </c>
      <c r="G49" s="16">
        <v>691.66666666666674</v>
      </c>
      <c r="H49" s="16">
        <v>2816.6666666666665</v>
      </c>
      <c r="I49" s="16">
        <v>4433.3333333333339</v>
      </c>
      <c r="J49" s="16">
        <v>2508.3333333333335</v>
      </c>
      <c r="K49" s="54">
        <v>43375</v>
      </c>
    </row>
    <row r="50" spans="1:11" x14ac:dyDescent="0.25">
      <c r="A50" s="8"/>
      <c r="B50" s="8" t="s">
        <v>36</v>
      </c>
      <c r="C50" s="16">
        <v>1991.6666666666665</v>
      </c>
      <c r="D50" s="16">
        <v>625</v>
      </c>
      <c r="E50" s="16">
        <v>591.66666666666663</v>
      </c>
      <c r="F50" s="16">
        <v>983.33333333333337</v>
      </c>
      <c r="G50" s="16">
        <v>691.66666666666674</v>
      </c>
      <c r="H50" s="16">
        <v>2816.6666666666665</v>
      </c>
      <c r="I50" s="16">
        <v>4433.3333333333339</v>
      </c>
      <c r="J50" s="16">
        <v>2508.3333333333335</v>
      </c>
      <c r="K50" s="54">
        <v>43375</v>
      </c>
    </row>
    <row r="51" spans="1:11" x14ac:dyDescent="0.25">
      <c r="A51" s="8"/>
      <c r="B51" s="8" t="s">
        <v>109</v>
      </c>
      <c r="C51" s="16">
        <v>1991.6666666666665</v>
      </c>
      <c r="D51" s="16">
        <v>625</v>
      </c>
      <c r="E51" s="16">
        <v>591.66666666666663</v>
      </c>
      <c r="F51" s="16">
        <v>983.33333333333337</v>
      </c>
      <c r="G51" s="16">
        <v>691.66666666666674</v>
      </c>
      <c r="H51" s="16">
        <v>2816.6666666666665</v>
      </c>
      <c r="I51" s="16">
        <v>4433.3333333333339</v>
      </c>
      <c r="J51" s="16">
        <v>2508.3333333333335</v>
      </c>
      <c r="K51" s="54">
        <v>43375</v>
      </c>
    </row>
    <row r="52" spans="1:11" x14ac:dyDescent="0.25">
      <c r="A52" s="8"/>
      <c r="B52" s="8" t="s">
        <v>37</v>
      </c>
      <c r="C52" s="16">
        <v>1991.6666666666665</v>
      </c>
      <c r="D52" s="16">
        <v>625</v>
      </c>
      <c r="E52" s="16">
        <v>591.66666666666663</v>
      </c>
      <c r="F52" s="16">
        <v>983.33333333333337</v>
      </c>
      <c r="G52" s="16">
        <v>691.66666666666674</v>
      </c>
      <c r="H52" s="16">
        <v>2816.6666666666665</v>
      </c>
      <c r="I52" s="16">
        <v>4433.3333333333339</v>
      </c>
      <c r="J52" s="16">
        <v>2508.3333333333335</v>
      </c>
      <c r="K52" s="54">
        <v>43375</v>
      </c>
    </row>
    <row r="53" spans="1:11" x14ac:dyDescent="0.25">
      <c r="A53" s="8"/>
      <c r="B53" s="8" t="s">
        <v>38</v>
      </c>
      <c r="C53" s="16">
        <v>1991.6666666666665</v>
      </c>
      <c r="D53" s="16">
        <v>625</v>
      </c>
      <c r="E53" s="16">
        <v>591.66666666666663</v>
      </c>
      <c r="F53" s="16">
        <v>983.33333333333337</v>
      </c>
      <c r="G53" s="16">
        <v>691.66666666666674</v>
      </c>
      <c r="H53" s="16">
        <v>2816.6666666666665</v>
      </c>
      <c r="I53" s="16">
        <v>4433.3333333333339</v>
      </c>
      <c r="J53" s="16">
        <v>2508.3333333333335</v>
      </c>
      <c r="K53" s="54">
        <v>43375</v>
      </c>
    </row>
    <row r="54" spans="1:11" x14ac:dyDescent="0.25">
      <c r="A54" s="8"/>
      <c r="B54" s="8" t="s">
        <v>39</v>
      </c>
      <c r="C54" s="16">
        <v>1991.6666666666665</v>
      </c>
      <c r="D54" s="16">
        <v>625</v>
      </c>
      <c r="E54" s="16">
        <v>591.66666666666663</v>
      </c>
      <c r="F54" s="16">
        <v>983.33333333333337</v>
      </c>
      <c r="G54" s="16">
        <v>691.66666666666674</v>
      </c>
      <c r="H54" s="16">
        <v>2816.6666666666665</v>
      </c>
      <c r="I54" s="16">
        <v>4433.3333333333339</v>
      </c>
      <c r="J54" s="16">
        <v>2508.3333333333335</v>
      </c>
      <c r="K54" s="54">
        <v>43375</v>
      </c>
    </row>
    <row r="55" spans="1:11" x14ac:dyDescent="0.25">
      <c r="A55" s="8"/>
      <c r="B55" s="8" t="s">
        <v>40</v>
      </c>
      <c r="C55" s="16">
        <v>1991.6666666666665</v>
      </c>
      <c r="D55" s="16">
        <v>625</v>
      </c>
      <c r="E55" s="16">
        <v>591.66666666666663</v>
      </c>
      <c r="F55" s="16">
        <v>983.33333333333337</v>
      </c>
      <c r="G55" s="16">
        <v>691.66666666666674</v>
      </c>
      <c r="H55" s="16">
        <v>2816.6666666666665</v>
      </c>
      <c r="I55" s="16">
        <v>4433.3333333333339</v>
      </c>
      <c r="J55" s="16">
        <v>2508.3333333333335</v>
      </c>
      <c r="K55" s="54">
        <v>43375</v>
      </c>
    </row>
    <row r="56" spans="1:11" x14ac:dyDescent="0.25">
      <c r="A56" s="8"/>
      <c r="B56" s="8" t="s">
        <v>107</v>
      </c>
      <c r="C56" s="16">
        <v>1991.6666666666665</v>
      </c>
      <c r="D56" s="16">
        <v>625</v>
      </c>
      <c r="E56" s="16">
        <v>591.66666666666663</v>
      </c>
      <c r="F56" s="16">
        <v>983.33333333333337</v>
      </c>
      <c r="G56" s="16">
        <v>691.66666666666674</v>
      </c>
      <c r="H56" s="16">
        <v>2816.6666666666665</v>
      </c>
      <c r="I56" s="16">
        <v>4433.3333333333339</v>
      </c>
      <c r="J56" s="16">
        <v>2508.3333333333335</v>
      </c>
      <c r="K56" s="54">
        <v>43375</v>
      </c>
    </row>
    <row r="57" spans="1:11" x14ac:dyDescent="0.25">
      <c r="A57" s="8"/>
      <c r="B57" s="8" t="s">
        <v>41</v>
      </c>
      <c r="C57" s="16">
        <v>1991.6666666666665</v>
      </c>
      <c r="D57" s="16">
        <v>625</v>
      </c>
      <c r="E57" s="16">
        <v>591.66666666666663</v>
      </c>
      <c r="F57" s="16">
        <v>983.33333333333337</v>
      </c>
      <c r="G57" s="16">
        <v>691.66666666666674</v>
      </c>
      <c r="H57" s="16">
        <v>2816.6666666666665</v>
      </c>
      <c r="I57" s="16">
        <v>4433.3333333333339</v>
      </c>
      <c r="J57" s="16">
        <v>2508.3333333333335</v>
      </c>
      <c r="K57" s="54">
        <v>43375</v>
      </c>
    </row>
    <row r="58" spans="1:11" x14ac:dyDescent="0.25">
      <c r="A58" s="8"/>
      <c r="B58" s="59" t="s">
        <v>108</v>
      </c>
      <c r="C58" s="231">
        <v>1991.6666666666665</v>
      </c>
      <c r="D58" s="231">
        <v>625</v>
      </c>
      <c r="E58" s="231">
        <v>591.66666666666663</v>
      </c>
      <c r="F58" s="231">
        <v>983.33333333333337</v>
      </c>
      <c r="G58" s="231">
        <v>691.66666666666674</v>
      </c>
      <c r="H58" s="231">
        <v>2816.6666666666665</v>
      </c>
      <c r="I58" s="231">
        <v>4433.3333333333339</v>
      </c>
      <c r="J58" s="231">
        <v>2508.3333333333335</v>
      </c>
      <c r="K58" s="230">
        <v>43375</v>
      </c>
    </row>
    <row r="59" spans="1:11" x14ac:dyDescent="0.25">
      <c r="A59" s="8"/>
      <c r="B59" s="23"/>
      <c r="C59" s="16"/>
      <c r="D59" s="8"/>
    </row>
    <row r="60" spans="1:11" x14ac:dyDescent="0.25">
      <c r="A60" s="8"/>
      <c r="B60" s="23"/>
      <c r="C60" s="16"/>
      <c r="D60" s="8"/>
    </row>
    <row r="61" spans="1:11" x14ac:dyDescent="0.25">
      <c r="A61" s="8"/>
      <c r="B61" s="23"/>
      <c r="C61" s="54"/>
      <c r="D61" s="8"/>
    </row>
    <row r="62" spans="1:11" x14ac:dyDescent="0.25">
      <c r="A62" s="8"/>
      <c r="B62" s="8"/>
      <c r="C62" s="16"/>
      <c r="D62" s="8"/>
    </row>
    <row r="63" spans="1:11" x14ac:dyDescent="0.25">
      <c r="A63" s="8"/>
      <c r="B63" s="8"/>
      <c r="C63" s="16"/>
      <c r="D63" s="8"/>
    </row>
    <row r="64" spans="1:11" x14ac:dyDescent="0.25">
      <c r="A64" s="8"/>
      <c r="B64" s="23"/>
      <c r="C64" s="16"/>
      <c r="D64" s="8"/>
    </row>
    <row r="65" spans="1:4" x14ac:dyDescent="0.25">
      <c r="A65" s="8"/>
      <c r="B65" s="23"/>
      <c r="C65" s="16"/>
      <c r="D65" s="8"/>
    </row>
    <row r="66" spans="1:4" x14ac:dyDescent="0.25">
      <c r="A66" s="8"/>
      <c r="B66" s="23"/>
      <c r="C66" s="16"/>
      <c r="D66" s="8"/>
    </row>
    <row r="67" spans="1:4" x14ac:dyDescent="0.25">
      <c r="A67" s="8"/>
      <c r="B67" s="23"/>
      <c r="C67" s="16"/>
      <c r="D67" s="8"/>
    </row>
    <row r="68" spans="1:4" x14ac:dyDescent="0.25">
      <c r="A68" s="8"/>
      <c r="B68" s="23"/>
      <c r="C68" s="16"/>
      <c r="D68" s="8"/>
    </row>
    <row r="69" spans="1:4" x14ac:dyDescent="0.25">
      <c r="A69" s="8"/>
      <c r="B69" s="23"/>
      <c r="C69" s="16"/>
      <c r="D69" s="8"/>
    </row>
    <row r="70" spans="1:4" x14ac:dyDescent="0.25">
      <c r="A70" s="8"/>
      <c r="B70" s="23"/>
      <c r="C70" s="54"/>
      <c r="D70" s="8"/>
    </row>
    <row r="71" spans="1:4" x14ac:dyDescent="0.25">
      <c r="A71" s="8"/>
      <c r="B71" s="8"/>
      <c r="C71" s="16"/>
      <c r="D71" s="8"/>
    </row>
    <row r="72" spans="1:4" x14ac:dyDescent="0.25">
      <c r="A72" s="8"/>
      <c r="B72" s="8"/>
      <c r="C72" s="16"/>
      <c r="D72" s="8"/>
    </row>
    <row r="73" spans="1:4" x14ac:dyDescent="0.25">
      <c r="A73" s="8"/>
      <c r="B73" s="23"/>
      <c r="C73" s="16"/>
      <c r="D73" s="8"/>
    </row>
    <row r="74" spans="1:4" x14ac:dyDescent="0.25">
      <c r="A74" s="8"/>
      <c r="B74" s="23"/>
      <c r="C74" s="16"/>
      <c r="D74" s="8"/>
    </row>
    <row r="75" spans="1:4" x14ac:dyDescent="0.25">
      <c r="A75" s="8"/>
      <c r="B75" s="23"/>
      <c r="C75" s="16"/>
      <c r="D75" s="8"/>
    </row>
    <row r="76" spans="1:4" x14ac:dyDescent="0.25">
      <c r="A76" s="8"/>
      <c r="B76" s="23"/>
      <c r="C76" s="16"/>
      <c r="D76" s="8"/>
    </row>
    <row r="77" spans="1:4" x14ac:dyDescent="0.25">
      <c r="A77" s="8"/>
      <c r="B77" s="23"/>
      <c r="C77" s="16"/>
      <c r="D77" s="8"/>
    </row>
    <row r="78" spans="1:4" x14ac:dyDescent="0.25">
      <c r="A78" s="8"/>
      <c r="B78" s="23"/>
      <c r="C78" s="16"/>
      <c r="D78" s="8"/>
    </row>
    <row r="79" spans="1:4" x14ac:dyDescent="0.25">
      <c r="A79" s="8"/>
      <c r="B79" s="23"/>
      <c r="C79" s="54"/>
      <c r="D79" s="8"/>
    </row>
    <row r="80" spans="1:4" x14ac:dyDescent="0.25">
      <c r="A80" s="8"/>
      <c r="B80" s="8"/>
      <c r="C80" s="16"/>
      <c r="D80" s="8"/>
    </row>
    <row r="81" spans="1:4" x14ac:dyDescent="0.25">
      <c r="A81" s="8"/>
      <c r="B81" s="8"/>
      <c r="C81" s="16"/>
      <c r="D81" s="8"/>
    </row>
    <row r="82" spans="1:4" x14ac:dyDescent="0.25">
      <c r="A82" s="8"/>
      <c r="B82" s="23"/>
      <c r="C82" s="16"/>
      <c r="D82" s="8"/>
    </row>
    <row r="83" spans="1:4" x14ac:dyDescent="0.25">
      <c r="A83" s="8"/>
      <c r="B83" s="23"/>
      <c r="C83" s="16"/>
      <c r="D83" s="8"/>
    </row>
    <row r="84" spans="1:4" x14ac:dyDescent="0.25">
      <c r="A84" s="8"/>
      <c r="B84" s="23"/>
      <c r="C84" s="16"/>
      <c r="D84" s="8"/>
    </row>
    <row r="85" spans="1:4" x14ac:dyDescent="0.25">
      <c r="A85" s="8"/>
      <c r="B85" s="23"/>
      <c r="C85" s="16"/>
      <c r="D85" s="8"/>
    </row>
    <row r="86" spans="1:4" x14ac:dyDescent="0.25">
      <c r="A86" s="8"/>
      <c r="B86" s="23"/>
      <c r="C86" s="16"/>
      <c r="D86" s="8"/>
    </row>
    <row r="87" spans="1:4" x14ac:dyDescent="0.25">
      <c r="A87" s="8"/>
      <c r="B87" s="23"/>
      <c r="C87" s="16"/>
      <c r="D87" s="8"/>
    </row>
    <row r="88" spans="1:4" x14ac:dyDescent="0.25">
      <c r="A88" s="8"/>
      <c r="B88" s="23"/>
      <c r="C88" s="54"/>
      <c r="D88" s="8"/>
    </row>
    <row r="89" spans="1:4" x14ac:dyDescent="0.25">
      <c r="A89" s="8"/>
      <c r="B89" s="8"/>
      <c r="C89" s="16"/>
      <c r="D89" s="8"/>
    </row>
    <row r="90" spans="1:4" x14ac:dyDescent="0.25">
      <c r="A90" s="8"/>
      <c r="B90" s="8"/>
      <c r="C90" s="16"/>
      <c r="D90" s="8"/>
    </row>
    <row r="91" spans="1:4" x14ac:dyDescent="0.25">
      <c r="A91" s="8"/>
      <c r="B91" s="23"/>
      <c r="C91" s="16"/>
      <c r="D91" s="8"/>
    </row>
    <row r="92" spans="1:4" x14ac:dyDescent="0.25">
      <c r="A92" s="8"/>
      <c r="B92" s="23"/>
      <c r="C92" s="16"/>
      <c r="D92" s="8"/>
    </row>
    <row r="93" spans="1:4" x14ac:dyDescent="0.25">
      <c r="A93" s="8"/>
      <c r="B93" s="23"/>
      <c r="C93" s="16"/>
      <c r="D93" s="8"/>
    </row>
    <row r="94" spans="1:4" x14ac:dyDescent="0.25">
      <c r="A94" s="8"/>
      <c r="B94" s="23"/>
      <c r="C94" s="16"/>
      <c r="D94" s="8"/>
    </row>
    <row r="95" spans="1:4" x14ac:dyDescent="0.25">
      <c r="A95" s="8"/>
      <c r="B95" s="23"/>
      <c r="C95" s="16"/>
      <c r="D95" s="8"/>
    </row>
    <row r="96" spans="1:4" x14ac:dyDescent="0.25">
      <c r="A96" s="8"/>
      <c r="B96" s="23"/>
      <c r="C96" s="16"/>
      <c r="D96" s="8"/>
    </row>
    <row r="97" spans="1:4" x14ac:dyDescent="0.25">
      <c r="A97" s="8"/>
      <c r="B97" s="23"/>
      <c r="C97" s="54"/>
      <c r="D97" s="8"/>
    </row>
    <row r="98" spans="1:4" x14ac:dyDescent="0.25">
      <c r="A98" s="8"/>
      <c r="B98" s="8"/>
      <c r="C98" s="16"/>
      <c r="D98" s="8"/>
    </row>
    <row r="99" spans="1:4" x14ac:dyDescent="0.25">
      <c r="A99" s="8"/>
      <c r="B99" s="8"/>
      <c r="C99" s="16"/>
      <c r="D99" s="8"/>
    </row>
    <row r="100" spans="1:4" x14ac:dyDescent="0.25">
      <c r="A100" s="8"/>
      <c r="B100" s="23"/>
      <c r="C100" s="16"/>
      <c r="D100" s="8"/>
    </row>
    <row r="101" spans="1:4" x14ac:dyDescent="0.25">
      <c r="A101" s="8"/>
      <c r="B101" s="23"/>
      <c r="C101" s="16"/>
      <c r="D101" s="8"/>
    </row>
    <row r="102" spans="1:4" x14ac:dyDescent="0.25">
      <c r="A102" s="8"/>
      <c r="B102" s="23"/>
      <c r="C102" s="16"/>
      <c r="D102" s="8"/>
    </row>
    <row r="103" spans="1:4" x14ac:dyDescent="0.25">
      <c r="A103" s="8"/>
      <c r="B103" s="23"/>
      <c r="C103" s="16"/>
      <c r="D103" s="8"/>
    </row>
    <row r="104" spans="1:4" x14ac:dyDescent="0.25">
      <c r="A104" s="8"/>
      <c r="B104" s="23"/>
      <c r="C104" s="16"/>
      <c r="D104" s="8"/>
    </row>
    <row r="105" spans="1:4" x14ac:dyDescent="0.25">
      <c r="A105" s="8"/>
      <c r="B105" s="23"/>
      <c r="C105" s="16"/>
      <c r="D105" s="8"/>
    </row>
    <row r="106" spans="1:4" x14ac:dyDescent="0.25">
      <c r="A106" s="8"/>
      <c r="B106" s="23"/>
      <c r="C106" s="54"/>
      <c r="D106" s="8"/>
    </row>
    <row r="107" spans="1:4" x14ac:dyDescent="0.25">
      <c r="A107" s="1"/>
      <c r="C107" s="1"/>
      <c r="D107" s="1"/>
    </row>
    <row r="108" spans="1:4" x14ac:dyDescent="0.25">
      <c r="A108" s="1"/>
      <c r="C108" s="1"/>
      <c r="D10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8"/>
  <sheetViews>
    <sheetView showGridLines="0" zoomScaleNormal="100" workbookViewId="0">
      <selection activeCell="A22" sqref="A22"/>
    </sheetView>
  </sheetViews>
  <sheetFormatPr defaultRowHeight="11.5" x14ac:dyDescent="0.25"/>
  <cols>
    <col min="1" max="1" width="15.7265625" customWidth="1"/>
  </cols>
  <sheetData>
    <row r="1" spans="1:11" ht="19.5" x14ac:dyDescent="0.35">
      <c r="A1" s="6" t="s">
        <v>403</v>
      </c>
    </row>
    <row r="2" spans="1:11" x14ac:dyDescent="0.25">
      <c r="A2" s="5" t="s">
        <v>404</v>
      </c>
      <c r="D2" s="23"/>
      <c r="E2" s="23"/>
      <c r="F2" s="23"/>
      <c r="G2" s="23"/>
      <c r="H2" s="8"/>
      <c r="I2" s="23"/>
      <c r="J2" s="23"/>
      <c r="K2" s="23"/>
    </row>
    <row r="3" spans="1:11" x14ac:dyDescent="0.25">
      <c r="A3" s="5"/>
      <c r="D3" s="23"/>
      <c r="E3" s="23"/>
      <c r="F3" s="23"/>
      <c r="G3" s="23"/>
      <c r="H3" s="23"/>
      <c r="I3" s="23"/>
      <c r="J3" s="23"/>
      <c r="K3" s="16"/>
    </row>
    <row r="4" spans="1:11" x14ac:dyDescent="0.25">
      <c r="A4" s="40" t="s">
        <v>128</v>
      </c>
      <c r="B4" s="33"/>
      <c r="C4" s="33"/>
      <c r="D4" s="33"/>
      <c r="E4" s="34"/>
      <c r="F4" s="32" t="s">
        <v>130</v>
      </c>
      <c r="G4" s="196"/>
      <c r="H4" s="196"/>
      <c r="I4" s="191"/>
      <c r="J4" s="191"/>
      <c r="K4" s="197"/>
    </row>
    <row r="5" spans="1:11" x14ac:dyDescent="0.25">
      <c r="A5" s="8"/>
      <c r="B5" s="8"/>
      <c r="C5" s="8"/>
      <c r="D5" s="8"/>
      <c r="E5" s="55"/>
      <c r="F5" s="56"/>
      <c r="G5" s="8"/>
      <c r="H5" s="8"/>
      <c r="I5" s="1"/>
      <c r="J5" s="1"/>
      <c r="K5" s="160"/>
    </row>
    <row r="6" spans="1:11" x14ac:dyDescent="0.25">
      <c r="A6" s="8"/>
      <c r="B6" s="8"/>
      <c r="C6" s="8"/>
      <c r="D6" s="8"/>
      <c r="E6" s="55"/>
      <c r="F6" s="56"/>
      <c r="G6" s="8"/>
      <c r="H6" s="8"/>
      <c r="I6" s="1"/>
      <c r="J6" s="1"/>
      <c r="K6" s="160"/>
    </row>
    <row r="7" spans="1:11" x14ac:dyDescent="0.25">
      <c r="A7" s="30" t="s">
        <v>401</v>
      </c>
      <c r="E7" s="93"/>
      <c r="F7" s="189"/>
      <c r="G7" s="1"/>
      <c r="H7" s="1"/>
      <c r="I7" s="1"/>
      <c r="J7" s="1"/>
      <c r="K7" s="160"/>
    </row>
    <row r="8" spans="1:11" x14ac:dyDescent="0.25">
      <c r="A8" s="8" t="s">
        <v>400</v>
      </c>
      <c r="E8" s="93"/>
      <c r="F8" s="189"/>
      <c r="G8" s="1"/>
      <c r="H8" s="1"/>
      <c r="I8" s="1"/>
      <c r="J8" s="1"/>
      <c r="K8" s="160"/>
    </row>
    <row r="9" spans="1:11" x14ac:dyDescent="0.25">
      <c r="A9" s="1"/>
      <c r="B9" s="8"/>
      <c r="C9" s="8"/>
      <c r="D9" s="8"/>
      <c r="E9" s="55"/>
      <c r="F9" s="56"/>
      <c r="G9" s="57"/>
      <c r="H9" s="57"/>
      <c r="I9" s="1"/>
      <c r="J9" s="1"/>
      <c r="K9" s="160"/>
    </row>
    <row r="10" spans="1:11" x14ac:dyDescent="0.25">
      <c r="B10" s="8"/>
      <c r="C10" s="8"/>
      <c r="D10" s="8"/>
      <c r="E10" s="55"/>
      <c r="F10" s="56"/>
      <c r="G10" s="8"/>
      <c r="H10" s="8"/>
      <c r="I10" s="1"/>
      <c r="J10" s="1"/>
      <c r="K10" s="160"/>
    </row>
    <row r="11" spans="1:11" x14ac:dyDescent="0.25">
      <c r="A11" s="23"/>
      <c r="B11" s="8"/>
      <c r="C11" s="8"/>
      <c r="D11" s="16"/>
      <c r="E11" s="55"/>
      <c r="F11" s="56"/>
      <c r="G11" s="8"/>
      <c r="H11" s="8"/>
      <c r="I11" s="1"/>
      <c r="J11" s="1"/>
      <c r="K11" s="160"/>
    </row>
    <row r="12" spans="1:11" x14ac:dyDescent="0.25">
      <c r="A12" s="8"/>
      <c r="B12" s="8"/>
      <c r="C12" s="8"/>
      <c r="D12" s="8"/>
      <c r="E12" s="55"/>
      <c r="F12" s="56"/>
      <c r="G12" s="8"/>
      <c r="H12" s="8"/>
      <c r="I12" s="1"/>
      <c r="J12" s="1"/>
      <c r="K12" s="160"/>
    </row>
    <row r="13" spans="1:11" x14ac:dyDescent="0.25">
      <c r="A13" s="208"/>
      <c r="B13" s="8"/>
      <c r="C13" s="8"/>
      <c r="D13" s="8"/>
      <c r="E13" s="55"/>
      <c r="F13" s="56"/>
      <c r="G13" s="8"/>
      <c r="H13" s="8"/>
      <c r="I13" s="1"/>
      <c r="J13" s="1"/>
      <c r="K13" s="160"/>
    </row>
    <row r="14" spans="1:11" x14ac:dyDescent="0.25">
      <c r="A14" s="8"/>
      <c r="B14" s="8"/>
      <c r="C14" s="8"/>
      <c r="D14" s="8"/>
      <c r="E14" s="55"/>
      <c r="F14" s="56"/>
      <c r="G14" s="8"/>
      <c r="H14" s="8"/>
      <c r="I14" s="1"/>
      <c r="J14" s="1"/>
      <c r="K14" s="160"/>
    </row>
    <row r="15" spans="1:11" x14ac:dyDescent="0.25">
      <c r="A15" s="8"/>
      <c r="B15" s="8"/>
      <c r="C15" s="8"/>
      <c r="D15" s="8"/>
      <c r="E15" s="55"/>
      <c r="F15" s="56"/>
      <c r="G15" s="8"/>
      <c r="H15" s="8"/>
      <c r="I15" s="1"/>
      <c r="J15" s="1"/>
      <c r="K15" s="160"/>
    </row>
    <row r="16" spans="1:11" x14ac:dyDescent="0.25">
      <c r="A16" s="8"/>
      <c r="B16" s="8"/>
      <c r="C16" s="8"/>
      <c r="D16" s="8"/>
      <c r="E16" s="55"/>
      <c r="F16" s="56"/>
      <c r="G16" s="8"/>
      <c r="H16" s="8"/>
      <c r="I16" s="1"/>
      <c r="J16" s="1"/>
      <c r="K16" s="160"/>
    </row>
    <row r="17" spans="1:12" x14ac:dyDescent="0.25">
      <c r="A17" s="8"/>
      <c r="B17" s="8"/>
      <c r="C17" s="8"/>
      <c r="D17" s="8"/>
      <c r="E17" s="55"/>
      <c r="F17" s="56"/>
      <c r="G17" s="8"/>
      <c r="H17" s="8"/>
      <c r="I17" s="1"/>
      <c r="J17" s="1"/>
      <c r="K17" s="160"/>
    </row>
    <row r="18" spans="1:12" x14ac:dyDescent="0.25">
      <c r="A18" s="38"/>
      <c r="B18" s="38"/>
      <c r="C18" s="38"/>
      <c r="D18" s="38"/>
      <c r="E18" s="39"/>
      <c r="F18" s="37"/>
      <c r="G18" s="156"/>
      <c r="H18" s="156"/>
      <c r="I18" s="198"/>
      <c r="J18" s="198"/>
      <c r="K18" s="199"/>
    </row>
    <row r="19" spans="1:12" x14ac:dyDescent="0.25">
      <c r="A19" s="5"/>
      <c r="D19" s="23"/>
      <c r="K19" s="16"/>
    </row>
    <row r="20" spans="1:12" ht="34.5" x14ac:dyDescent="0.25">
      <c r="A20" s="9" t="s">
        <v>55</v>
      </c>
      <c r="B20" s="9" t="s">
        <v>6</v>
      </c>
    </row>
    <row r="21" spans="1:12" x14ac:dyDescent="0.25">
      <c r="A21" s="3" t="s">
        <v>2</v>
      </c>
      <c r="B21" s="2"/>
      <c r="C21" s="7" t="s">
        <v>87</v>
      </c>
    </row>
    <row r="22" spans="1:12" ht="12" thickBot="1" x14ac:dyDescent="0.3">
      <c r="A22" s="49"/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</row>
    <row r="23" spans="1:12" x14ac:dyDescent="0.25">
      <c r="A23" s="18" t="s">
        <v>158</v>
      </c>
      <c r="B23" s="8" t="s">
        <v>33</v>
      </c>
      <c r="C23" s="62">
        <v>0.24</v>
      </c>
      <c r="D23" s="57">
        <v>0.24</v>
      </c>
      <c r="E23" s="57">
        <v>0.24</v>
      </c>
      <c r="F23" s="57">
        <v>0.24</v>
      </c>
      <c r="G23" s="57">
        <v>0.24</v>
      </c>
      <c r="H23" s="57">
        <v>0.24</v>
      </c>
      <c r="I23" s="57">
        <v>0.24</v>
      </c>
      <c r="J23" s="57">
        <v>0.24</v>
      </c>
      <c r="K23" s="57">
        <v>0.24</v>
      </c>
      <c r="L23" s="15"/>
    </row>
    <row r="24" spans="1:12" x14ac:dyDescent="0.25">
      <c r="A24" s="18"/>
      <c r="B24" s="8" t="s">
        <v>34</v>
      </c>
      <c r="C24" s="57">
        <v>0.24</v>
      </c>
      <c r="D24" s="57">
        <v>0.24</v>
      </c>
      <c r="E24" s="57">
        <v>0.24</v>
      </c>
      <c r="F24" s="57">
        <v>0.24</v>
      </c>
      <c r="G24" s="57">
        <v>0.24</v>
      </c>
      <c r="H24" s="57">
        <v>0.24</v>
      </c>
      <c r="I24" s="57">
        <v>0.24</v>
      </c>
      <c r="J24" s="57">
        <v>0.24</v>
      </c>
      <c r="K24" s="57">
        <v>0.24</v>
      </c>
      <c r="L24" s="15"/>
    </row>
    <row r="25" spans="1:12" x14ac:dyDescent="0.25">
      <c r="A25" s="18"/>
      <c r="B25" s="8" t="s">
        <v>35</v>
      </c>
      <c r="C25" s="57">
        <v>0.24</v>
      </c>
      <c r="D25" s="57">
        <v>0.24</v>
      </c>
      <c r="E25" s="57">
        <v>0.24</v>
      </c>
      <c r="F25" s="57">
        <v>0.24</v>
      </c>
      <c r="G25" s="57">
        <v>0.24</v>
      </c>
      <c r="H25" s="57">
        <v>0.24</v>
      </c>
      <c r="I25" s="57">
        <v>0.24</v>
      </c>
      <c r="J25" s="57">
        <v>0.24</v>
      </c>
      <c r="K25" s="57">
        <v>0.24</v>
      </c>
      <c r="L25" s="15"/>
    </row>
    <row r="26" spans="1:12" x14ac:dyDescent="0.25">
      <c r="A26" s="18"/>
      <c r="B26" s="8" t="s">
        <v>36</v>
      </c>
      <c r="C26" s="57">
        <v>0.24</v>
      </c>
      <c r="D26" s="57">
        <v>0.24</v>
      </c>
      <c r="E26" s="57">
        <v>0.24</v>
      </c>
      <c r="F26" s="57">
        <v>0.24</v>
      </c>
      <c r="G26" s="57">
        <v>0.24</v>
      </c>
      <c r="H26" s="57">
        <v>0.24</v>
      </c>
      <c r="I26" s="57">
        <v>0.24</v>
      </c>
      <c r="J26" s="57">
        <v>0.24</v>
      </c>
      <c r="K26" s="57">
        <v>0.24</v>
      </c>
      <c r="L26" s="15"/>
    </row>
    <row r="27" spans="1:12" x14ac:dyDescent="0.25">
      <c r="A27" s="18"/>
      <c r="B27" s="8" t="s">
        <v>109</v>
      </c>
      <c r="C27" s="57">
        <v>0.24</v>
      </c>
      <c r="D27" s="57">
        <v>0.24</v>
      </c>
      <c r="E27" s="57">
        <v>0.24</v>
      </c>
      <c r="F27" s="57">
        <v>0.24</v>
      </c>
      <c r="G27" s="57">
        <v>0.24</v>
      </c>
      <c r="H27" s="57">
        <v>0.24</v>
      </c>
      <c r="I27" s="57">
        <v>0.24</v>
      </c>
      <c r="J27" s="57">
        <v>0.24</v>
      </c>
      <c r="K27" s="57">
        <v>0.24</v>
      </c>
      <c r="L27" s="15"/>
    </row>
    <row r="28" spans="1:12" x14ac:dyDescent="0.25">
      <c r="A28" s="18"/>
      <c r="B28" s="8" t="s">
        <v>37</v>
      </c>
      <c r="C28" s="57">
        <v>0.24</v>
      </c>
      <c r="D28" s="57">
        <v>0.24</v>
      </c>
      <c r="E28" s="57">
        <v>0.24</v>
      </c>
      <c r="F28" s="57">
        <v>0.24</v>
      </c>
      <c r="G28" s="57">
        <v>0.24</v>
      </c>
      <c r="H28" s="57">
        <v>0.24</v>
      </c>
      <c r="I28" s="57">
        <v>0.24</v>
      </c>
      <c r="J28" s="57">
        <v>0.24</v>
      </c>
      <c r="K28" s="57">
        <v>0.24</v>
      </c>
      <c r="L28" s="15"/>
    </row>
    <row r="29" spans="1:12" x14ac:dyDescent="0.25">
      <c r="A29" s="18"/>
      <c r="B29" s="8" t="s">
        <v>38</v>
      </c>
      <c r="C29" s="57">
        <v>0.24</v>
      </c>
      <c r="D29" s="57">
        <v>0.24</v>
      </c>
      <c r="E29" s="57">
        <v>0.24</v>
      </c>
      <c r="F29" s="57">
        <v>0.24</v>
      </c>
      <c r="G29" s="57">
        <v>0.24</v>
      </c>
      <c r="H29" s="57">
        <v>0.24</v>
      </c>
      <c r="I29" s="57">
        <v>0.24</v>
      </c>
      <c r="J29" s="57">
        <v>0.24</v>
      </c>
      <c r="K29" s="57">
        <v>0.24</v>
      </c>
      <c r="L29" s="15"/>
    </row>
    <row r="30" spans="1:12" x14ac:dyDescent="0.25">
      <c r="A30" s="18"/>
      <c r="B30" s="8" t="s">
        <v>39</v>
      </c>
      <c r="C30" s="57">
        <v>0.24</v>
      </c>
      <c r="D30" s="57">
        <v>0.24</v>
      </c>
      <c r="E30" s="57">
        <v>0.24</v>
      </c>
      <c r="F30" s="57">
        <v>0.24</v>
      </c>
      <c r="G30" s="57">
        <v>0.24</v>
      </c>
      <c r="H30" s="57">
        <v>0.24</v>
      </c>
      <c r="I30" s="57">
        <v>0.24</v>
      </c>
      <c r="J30" s="57">
        <v>0.24</v>
      </c>
      <c r="K30" s="57">
        <v>0.24</v>
      </c>
      <c r="L30" s="15"/>
    </row>
    <row r="31" spans="1:12" x14ac:dyDescent="0.25">
      <c r="A31" s="18"/>
      <c r="B31" s="8" t="s">
        <v>40</v>
      </c>
      <c r="C31" s="57">
        <v>0.24</v>
      </c>
      <c r="D31" s="57">
        <v>0.24</v>
      </c>
      <c r="E31" s="57">
        <v>0.24</v>
      </c>
      <c r="F31" s="57">
        <v>0.24</v>
      </c>
      <c r="G31" s="57">
        <v>0.24</v>
      </c>
      <c r="H31" s="57">
        <v>0.24</v>
      </c>
      <c r="I31" s="57">
        <v>0.24</v>
      </c>
      <c r="J31" s="57">
        <v>0.24</v>
      </c>
      <c r="K31" s="57">
        <v>0.24</v>
      </c>
      <c r="L31" s="15"/>
    </row>
    <row r="32" spans="1:12" x14ac:dyDescent="0.25">
      <c r="A32" s="18"/>
      <c r="B32" s="8" t="s">
        <v>107</v>
      </c>
      <c r="C32" s="57">
        <v>0.24</v>
      </c>
      <c r="D32" s="57">
        <v>0.24</v>
      </c>
      <c r="E32" s="57">
        <v>0.24</v>
      </c>
      <c r="F32" s="57">
        <v>0.24</v>
      </c>
      <c r="G32" s="57">
        <v>0.24</v>
      </c>
      <c r="H32" s="57">
        <v>0.24</v>
      </c>
      <c r="I32" s="57">
        <v>0.24</v>
      </c>
      <c r="J32" s="57">
        <v>0.24</v>
      </c>
      <c r="K32" s="57">
        <v>0.24</v>
      </c>
      <c r="L32" s="15"/>
    </row>
    <row r="33" spans="1:12" x14ac:dyDescent="0.25">
      <c r="A33" s="18"/>
      <c r="B33" s="8" t="s">
        <v>41</v>
      </c>
      <c r="C33" s="57">
        <v>0.24</v>
      </c>
      <c r="D33" s="57">
        <v>0.24</v>
      </c>
      <c r="E33" s="57">
        <v>0.24</v>
      </c>
      <c r="F33" s="57">
        <v>0.24</v>
      </c>
      <c r="G33" s="57">
        <v>0.24</v>
      </c>
      <c r="H33" s="57">
        <v>0.24</v>
      </c>
      <c r="I33" s="57">
        <v>0.24</v>
      </c>
      <c r="J33" s="57">
        <v>0.24</v>
      </c>
      <c r="K33" s="57">
        <v>0.24</v>
      </c>
      <c r="L33" s="15"/>
    </row>
    <row r="34" spans="1:12" x14ac:dyDescent="0.25">
      <c r="A34" s="18"/>
      <c r="B34" s="8" t="s">
        <v>108</v>
      </c>
      <c r="C34" s="57">
        <v>0.24</v>
      </c>
      <c r="D34" s="57">
        <v>0.24</v>
      </c>
      <c r="E34" s="57">
        <v>0.24</v>
      </c>
      <c r="F34" s="57">
        <v>0.24</v>
      </c>
      <c r="G34" s="57">
        <v>0.24</v>
      </c>
      <c r="H34" s="57">
        <v>0.24</v>
      </c>
      <c r="I34" s="57">
        <v>0.24</v>
      </c>
      <c r="J34" s="57">
        <v>0.24</v>
      </c>
      <c r="K34" s="57">
        <v>0.24</v>
      </c>
      <c r="L34" s="15"/>
    </row>
    <row r="35" spans="1:12" x14ac:dyDescent="0.25">
      <c r="A35" s="8"/>
      <c r="B35" s="8"/>
      <c r="C35" s="57"/>
      <c r="D35" s="57"/>
      <c r="E35" s="57"/>
      <c r="F35" s="57"/>
      <c r="G35" s="57"/>
      <c r="H35" s="57"/>
      <c r="I35" s="57"/>
      <c r="J35" s="57"/>
      <c r="K35" s="57"/>
    </row>
    <row r="36" spans="1:12" x14ac:dyDescent="0.25">
      <c r="A36" s="8"/>
      <c r="B36" s="8"/>
      <c r="C36" s="57"/>
      <c r="D36" s="57"/>
      <c r="E36" s="57"/>
      <c r="F36" s="57"/>
      <c r="G36" s="57"/>
      <c r="H36" s="57"/>
      <c r="I36" s="57"/>
      <c r="J36" s="57"/>
      <c r="K36" s="57"/>
    </row>
    <row r="37" spans="1:12" x14ac:dyDescent="0.25">
      <c r="A37" s="8"/>
      <c r="B37" s="8"/>
      <c r="C37" s="57"/>
      <c r="D37" s="57"/>
      <c r="E37" s="57"/>
      <c r="F37" s="57"/>
      <c r="G37" s="57"/>
      <c r="H37" s="57"/>
      <c r="I37" s="57"/>
      <c r="J37" s="57"/>
      <c r="K37" s="57"/>
    </row>
    <row r="38" spans="1:12" x14ac:dyDescent="0.25">
      <c r="A38" s="8"/>
      <c r="B38" s="8"/>
      <c r="C38" s="57"/>
      <c r="D38" s="57"/>
      <c r="E38" s="57"/>
      <c r="F38" s="57"/>
      <c r="G38" s="57"/>
      <c r="H38" s="57"/>
      <c r="I38" s="57"/>
      <c r="J38" s="57"/>
      <c r="K38" s="57"/>
    </row>
    <row r="39" spans="1:12" x14ac:dyDescent="0.25">
      <c r="A39" s="8"/>
      <c r="B39" s="8"/>
      <c r="C39" s="57"/>
      <c r="D39" s="57"/>
      <c r="E39" s="57"/>
      <c r="F39" s="57"/>
      <c r="G39" s="57"/>
      <c r="H39" s="57"/>
      <c r="I39" s="57"/>
      <c r="J39" s="57"/>
      <c r="K39" s="57"/>
    </row>
    <row r="40" spans="1:12" x14ac:dyDescent="0.25">
      <c r="A40" s="8"/>
      <c r="B40" s="8"/>
      <c r="C40" s="57"/>
      <c r="D40" s="57"/>
      <c r="E40" s="57"/>
      <c r="F40" s="57"/>
      <c r="G40" s="57"/>
      <c r="H40" s="57"/>
      <c r="I40" s="57"/>
      <c r="J40" s="57"/>
      <c r="K40" s="57"/>
    </row>
    <row r="41" spans="1:12" x14ac:dyDescent="0.25">
      <c r="A41" s="8"/>
      <c r="B41" s="8"/>
      <c r="C41" s="57"/>
      <c r="D41" s="57"/>
      <c r="E41" s="57"/>
      <c r="F41" s="57"/>
      <c r="G41" s="57"/>
      <c r="H41" s="57"/>
      <c r="I41" s="57"/>
      <c r="J41" s="57"/>
      <c r="K41" s="57"/>
    </row>
    <row r="42" spans="1:12" x14ac:dyDescent="0.25">
      <c r="A42" s="8"/>
      <c r="B42" s="8"/>
      <c r="C42" s="57"/>
      <c r="D42" s="57"/>
      <c r="E42" s="57"/>
      <c r="F42" s="57"/>
      <c r="G42" s="57"/>
      <c r="H42" s="57"/>
      <c r="I42" s="57"/>
      <c r="J42" s="57"/>
      <c r="K42" s="57"/>
    </row>
    <row r="43" spans="1:12" x14ac:dyDescent="0.25">
      <c r="A43" s="8"/>
      <c r="B43" s="8"/>
      <c r="C43" s="57"/>
      <c r="D43" s="57"/>
      <c r="E43" s="57"/>
      <c r="F43" s="57"/>
      <c r="G43" s="57"/>
      <c r="H43" s="57"/>
      <c r="I43" s="57"/>
      <c r="J43" s="57"/>
      <c r="K43" s="57"/>
    </row>
    <row r="44" spans="1:12" x14ac:dyDescent="0.25">
      <c r="A44" s="8"/>
      <c r="B44" s="8"/>
      <c r="C44" s="57"/>
      <c r="D44" s="57"/>
      <c r="E44" s="57"/>
      <c r="F44" s="57"/>
      <c r="G44" s="57"/>
      <c r="H44" s="57"/>
      <c r="I44" s="57"/>
      <c r="J44" s="57"/>
      <c r="K44" s="57"/>
    </row>
    <row r="45" spans="1:12" x14ac:dyDescent="0.25">
      <c r="A45" s="8"/>
      <c r="B45" s="8"/>
      <c r="C45" s="57"/>
      <c r="D45" s="57"/>
      <c r="E45" s="57"/>
      <c r="F45" s="57"/>
      <c r="G45" s="57"/>
      <c r="H45" s="57"/>
      <c r="I45" s="57"/>
      <c r="J45" s="57"/>
      <c r="K45" s="57"/>
    </row>
    <row r="46" spans="1:12" x14ac:dyDescent="0.25">
      <c r="A46" s="8"/>
      <c r="B46" s="8"/>
      <c r="C46" s="57"/>
      <c r="D46" s="57"/>
      <c r="E46" s="57"/>
      <c r="F46" s="57"/>
      <c r="G46" s="57"/>
      <c r="H46" s="57"/>
      <c r="I46" s="57"/>
      <c r="J46" s="57"/>
      <c r="K46" s="57"/>
    </row>
    <row r="47" spans="1:12" x14ac:dyDescent="0.25">
      <c r="A47" s="8"/>
      <c r="B47" s="8"/>
      <c r="C47" s="57"/>
      <c r="D47" s="57"/>
      <c r="E47" s="57"/>
      <c r="F47" s="57"/>
      <c r="G47" s="57"/>
      <c r="H47" s="57"/>
      <c r="I47" s="57"/>
      <c r="J47" s="57"/>
      <c r="K47" s="57"/>
    </row>
    <row r="48" spans="1:12" x14ac:dyDescent="0.25">
      <c r="A48" s="8"/>
      <c r="B48" s="8"/>
      <c r="C48" s="57"/>
      <c r="D48" s="57"/>
      <c r="E48" s="57"/>
      <c r="F48" s="57"/>
      <c r="G48" s="57"/>
      <c r="H48" s="57"/>
      <c r="I48" s="57"/>
      <c r="J48" s="57"/>
      <c r="K48" s="57"/>
    </row>
    <row r="49" spans="1:11" x14ac:dyDescent="0.25">
      <c r="A49" s="8"/>
      <c r="B49" s="8"/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25">
      <c r="A50" s="8"/>
      <c r="B50" s="8"/>
      <c r="C50" s="57"/>
      <c r="D50" s="57"/>
      <c r="E50" s="57"/>
      <c r="F50" s="57"/>
      <c r="G50" s="57"/>
      <c r="H50" s="57"/>
      <c r="I50" s="57"/>
      <c r="J50" s="57"/>
      <c r="K50" s="57"/>
    </row>
    <row r="51" spans="1:11" x14ac:dyDescent="0.25">
      <c r="A51" s="8"/>
      <c r="B51" s="8"/>
      <c r="C51" s="57"/>
      <c r="D51" s="57"/>
      <c r="E51" s="57"/>
      <c r="F51" s="57"/>
      <c r="G51" s="57"/>
      <c r="H51" s="57"/>
      <c r="I51" s="57"/>
      <c r="J51" s="57"/>
      <c r="K51" s="57"/>
    </row>
    <row r="52" spans="1:11" x14ac:dyDescent="0.25">
      <c r="A52" s="8"/>
      <c r="B52" s="8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25">
      <c r="A53" s="8"/>
      <c r="B53" s="8"/>
      <c r="C53" s="57"/>
      <c r="D53" s="57"/>
      <c r="E53" s="57"/>
      <c r="F53" s="57"/>
      <c r="G53" s="57"/>
      <c r="H53" s="57"/>
      <c r="I53" s="57"/>
      <c r="J53" s="57"/>
      <c r="K53" s="57"/>
    </row>
    <row r="54" spans="1:11" x14ac:dyDescent="0.25">
      <c r="A54" s="8"/>
      <c r="B54" s="8"/>
      <c r="C54" s="57"/>
      <c r="D54" s="57"/>
      <c r="E54" s="57"/>
      <c r="F54" s="57"/>
      <c r="G54" s="57"/>
      <c r="H54" s="57"/>
      <c r="I54" s="57"/>
      <c r="J54" s="57"/>
      <c r="K54" s="57"/>
    </row>
    <row r="55" spans="1:11" x14ac:dyDescent="0.25">
      <c r="A55" s="8"/>
      <c r="B55" s="8"/>
      <c r="C55" s="57"/>
      <c r="D55" s="57"/>
      <c r="E55" s="57"/>
      <c r="F55" s="57"/>
      <c r="G55" s="57"/>
      <c r="H55" s="57"/>
      <c r="I55" s="57"/>
      <c r="J55" s="57"/>
      <c r="K55" s="57"/>
    </row>
    <row r="56" spans="1:11" x14ac:dyDescent="0.25">
      <c r="A56" s="8"/>
      <c r="B56" s="8"/>
      <c r="C56" s="57"/>
      <c r="D56" s="57"/>
      <c r="E56" s="57"/>
      <c r="F56" s="57"/>
      <c r="G56" s="57"/>
      <c r="H56" s="57"/>
      <c r="I56" s="57"/>
      <c r="J56" s="57"/>
      <c r="K56" s="57"/>
    </row>
    <row r="57" spans="1:11" x14ac:dyDescent="0.25">
      <c r="A57" s="8"/>
      <c r="B57" s="8"/>
      <c r="C57" s="57"/>
      <c r="D57" s="57"/>
      <c r="E57" s="57"/>
      <c r="F57" s="57"/>
      <c r="G57" s="57"/>
      <c r="H57" s="57"/>
      <c r="I57" s="57"/>
      <c r="J57" s="57"/>
      <c r="K57" s="57"/>
    </row>
    <row r="58" spans="1:11" x14ac:dyDescent="0.25">
      <c r="A58" s="8"/>
      <c r="B58" s="8"/>
      <c r="C58" s="57"/>
      <c r="D58" s="57"/>
      <c r="E58" s="57"/>
      <c r="F58" s="57"/>
      <c r="G58" s="57"/>
      <c r="H58" s="57"/>
      <c r="I58" s="57"/>
      <c r="J58" s="57"/>
      <c r="K58" s="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40"/>
  <sheetViews>
    <sheetView showGridLines="0" zoomScale="85" zoomScaleNormal="85" workbookViewId="0">
      <selection activeCell="J120" sqref="J120"/>
    </sheetView>
  </sheetViews>
  <sheetFormatPr defaultRowHeight="11.5" x14ac:dyDescent="0.25"/>
  <cols>
    <col min="1" max="1" width="14.08984375" customWidth="1"/>
    <col min="2" max="2" width="13" customWidth="1"/>
    <col min="3" max="3" width="13.453125" customWidth="1"/>
    <col min="4" max="4" width="13.08984375" customWidth="1"/>
    <col min="5" max="5" width="14.26953125" customWidth="1"/>
    <col min="6" max="6" width="13.7265625" customWidth="1"/>
    <col min="7" max="7" width="14.08984375" customWidth="1"/>
    <col min="8" max="8" width="14.453125" customWidth="1"/>
    <col min="9" max="9" width="9" style="1"/>
    <col min="10" max="10" width="14.90625" style="1" customWidth="1"/>
    <col min="11" max="11" width="19.6328125" style="1" customWidth="1"/>
    <col min="12" max="21" width="9" style="1"/>
  </cols>
  <sheetData>
    <row r="1" spans="1:21" ht="19.5" x14ac:dyDescent="0.35">
      <c r="A1" s="6" t="s">
        <v>50</v>
      </c>
    </row>
    <row r="2" spans="1:21" x14ac:dyDescent="0.25">
      <c r="A2" s="5" t="s">
        <v>12</v>
      </c>
      <c r="G2" s="17"/>
      <c r="H2" s="17"/>
    </row>
    <row r="3" spans="1:21" x14ac:dyDescent="0.25">
      <c r="B3" s="5"/>
      <c r="F3" s="31"/>
      <c r="G3" s="17"/>
      <c r="H3" s="17"/>
    </row>
    <row r="4" spans="1:21" x14ac:dyDescent="0.25">
      <c r="A4" s="40" t="s">
        <v>128</v>
      </c>
      <c r="B4" s="33"/>
      <c r="C4" s="33"/>
      <c r="D4" s="33"/>
      <c r="E4" s="34"/>
      <c r="F4" s="32" t="s">
        <v>130</v>
      </c>
      <c r="G4" s="33"/>
      <c r="H4" s="182"/>
      <c r="I4" s="11"/>
      <c r="J4" s="11"/>
      <c r="K4" s="11"/>
      <c r="Q4" s="11"/>
      <c r="R4" s="11"/>
      <c r="S4" s="11"/>
      <c r="T4" s="11"/>
      <c r="U4" s="11"/>
    </row>
    <row r="5" spans="1:21" x14ac:dyDescent="0.25">
      <c r="A5" s="10" t="s">
        <v>82</v>
      </c>
      <c r="B5" s="42" t="s">
        <v>406</v>
      </c>
      <c r="C5" s="11"/>
      <c r="D5" s="11"/>
      <c r="E5" s="35"/>
      <c r="F5" s="36"/>
      <c r="G5" s="11"/>
      <c r="H5" s="209"/>
      <c r="I5" s="11"/>
      <c r="J5" s="11"/>
      <c r="K5" s="11"/>
      <c r="Q5" s="11"/>
      <c r="R5" s="11"/>
      <c r="S5" s="11"/>
      <c r="T5" s="11"/>
      <c r="U5" s="11"/>
    </row>
    <row r="6" spans="1:21" x14ac:dyDescent="0.25">
      <c r="A6" s="10" t="s">
        <v>407</v>
      </c>
      <c r="B6" s="43" t="s">
        <v>110</v>
      </c>
      <c r="C6" s="11"/>
      <c r="D6" s="11"/>
      <c r="E6" s="35"/>
      <c r="F6" s="11"/>
      <c r="G6" s="11"/>
      <c r="H6" s="209"/>
      <c r="I6" s="11"/>
      <c r="J6" s="11"/>
      <c r="K6" s="11"/>
      <c r="Q6" s="11"/>
      <c r="R6" s="11"/>
      <c r="S6" s="11"/>
      <c r="T6" s="11"/>
      <c r="U6" s="11"/>
    </row>
    <row r="7" spans="1:21" x14ac:dyDescent="0.25">
      <c r="A7" t="s">
        <v>408</v>
      </c>
      <c r="B7" t="s">
        <v>187</v>
      </c>
      <c r="E7" s="35"/>
      <c r="F7" s="36"/>
      <c r="G7" s="11"/>
      <c r="H7" s="209"/>
      <c r="I7" s="11"/>
      <c r="J7" s="11"/>
      <c r="K7" s="11"/>
      <c r="Q7" s="11"/>
      <c r="R7" s="11"/>
      <c r="S7" s="11"/>
      <c r="T7" s="11"/>
      <c r="U7" s="11"/>
    </row>
    <row r="8" spans="1:21" x14ac:dyDescent="0.25">
      <c r="A8" s="45" t="s">
        <v>409</v>
      </c>
      <c r="B8" t="s">
        <v>410</v>
      </c>
      <c r="E8" s="35"/>
      <c r="F8" s="36"/>
      <c r="G8" s="11"/>
      <c r="H8" s="209"/>
      <c r="I8" s="11"/>
      <c r="J8" s="11"/>
      <c r="K8" s="11"/>
      <c r="Q8" s="11"/>
      <c r="R8" s="11"/>
      <c r="S8" s="11"/>
      <c r="T8" s="11"/>
      <c r="U8" s="11"/>
    </row>
    <row r="9" spans="1:21" x14ac:dyDescent="0.25">
      <c r="A9" s="1"/>
      <c r="B9" s="44"/>
      <c r="C9" s="11"/>
      <c r="D9" s="11"/>
      <c r="E9" s="35"/>
      <c r="F9" s="36"/>
      <c r="G9" s="41"/>
      <c r="H9" s="210"/>
      <c r="I9" s="41"/>
      <c r="J9" s="41"/>
      <c r="K9" s="41"/>
      <c r="Q9" s="41"/>
      <c r="R9" s="41"/>
      <c r="S9" s="11"/>
      <c r="T9" s="11"/>
      <c r="U9" s="11"/>
    </row>
    <row r="10" spans="1:21" x14ac:dyDescent="0.25">
      <c r="A10" s="8" t="s">
        <v>411</v>
      </c>
      <c r="B10" s="11"/>
      <c r="C10" s="11"/>
      <c r="D10" s="11"/>
      <c r="E10" s="35"/>
      <c r="H10" s="160"/>
      <c r="K10" s="11"/>
      <c r="Q10" s="11"/>
      <c r="R10" s="11"/>
      <c r="S10" s="11"/>
      <c r="T10" s="11"/>
      <c r="U10" s="11"/>
    </row>
    <row r="11" spans="1:21" x14ac:dyDescent="0.25">
      <c r="A11" s="8" t="s">
        <v>405</v>
      </c>
      <c r="B11" s="11"/>
      <c r="C11" s="11"/>
      <c r="D11" s="11"/>
      <c r="E11" s="35"/>
      <c r="H11" s="160"/>
      <c r="K11" s="11"/>
      <c r="Q11" s="11"/>
      <c r="R11" s="11"/>
      <c r="S11" s="11"/>
      <c r="T11" s="11"/>
      <c r="U11" s="11"/>
    </row>
    <row r="12" spans="1:21" x14ac:dyDescent="0.25">
      <c r="A12" s="11"/>
      <c r="B12" s="11"/>
      <c r="C12" s="11"/>
      <c r="D12" s="11"/>
      <c r="E12" s="35"/>
      <c r="H12" s="211"/>
      <c r="K12" s="11"/>
      <c r="Q12" s="11"/>
      <c r="R12" s="11"/>
      <c r="S12" s="11"/>
      <c r="T12" s="11"/>
      <c r="U12" s="11"/>
    </row>
    <row r="13" spans="1:21" x14ac:dyDescent="0.25">
      <c r="A13" s="8" t="s">
        <v>414</v>
      </c>
      <c r="B13" s="11"/>
      <c r="C13" s="11"/>
      <c r="D13" s="11"/>
      <c r="E13" s="35"/>
      <c r="F13" s="36"/>
      <c r="G13" s="11"/>
      <c r="H13" s="209"/>
      <c r="I13" s="11"/>
      <c r="J13" s="11"/>
      <c r="K13" s="11"/>
      <c r="Q13" s="11"/>
      <c r="R13" s="11"/>
      <c r="S13" s="11"/>
      <c r="T13" s="11"/>
      <c r="U13" s="11"/>
    </row>
    <row r="14" spans="1:21" x14ac:dyDescent="0.25">
      <c r="A14" s="11" t="s">
        <v>413</v>
      </c>
      <c r="B14" s="11"/>
      <c r="C14" s="11"/>
      <c r="D14" s="11"/>
      <c r="E14" s="35"/>
      <c r="F14" s="36"/>
      <c r="G14" s="11"/>
      <c r="H14" s="209"/>
      <c r="I14" s="11"/>
      <c r="J14" s="11"/>
      <c r="K14" s="11"/>
      <c r="Q14" s="11"/>
      <c r="R14" s="11"/>
      <c r="S14" s="11"/>
      <c r="T14" s="11"/>
      <c r="U14" s="11"/>
    </row>
    <row r="15" spans="1:21" x14ac:dyDescent="0.25">
      <c r="A15" s="11" t="s">
        <v>412</v>
      </c>
      <c r="B15" s="11"/>
      <c r="C15" s="11"/>
      <c r="D15" s="11"/>
      <c r="E15" s="35"/>
      <c r="F15" s="36"/>
      <c r="G15" s="11"/>
      <c r="H15" s="209"/>
      <c r="I15" s="11"/>
      <c r="J15" s="11"/>
      <c r="K15" s="11"/>
      <c r="Q15" s="11"/>
      <c r="R15" s="11"/>
      <c r="S15" s="11"/>
      <c r="T15" s="11"/>
      <c r="U15" s="11"/>
    </row>
    <row r="16" spans="1:21" x14ac:dyDescent="0.25">
      <c r="B16" s="11"/>
      <c r="C16" s="11"/>
      <c r="D16" s="11"/>
      <c r="E16" s="35"/>
      <c r="F16" s="36"/>
      <c r="G16" s="11"/>
      <c r="H16" s="209"/>
      <c r="I16" s="11"/>
      <c r="J16" s="11"/>
      <c r="K16" s="11"/>
      <c r="Q16" s="11"/>
      <c r="R16" s="11"/>
      <c r="S16" s="11"/>
      <c r="T16" s="11"/>
      <c r="U16" s="11"/>
    </row>
    <row r="17" spans="1:21" x14ac:dyDescent="0.25">
      <c r="A17" s="27" t="s">
        <v>438</v>
      </c>
      <c r="B17" s="11"/>
      <c r="C17" s="11"/>
      <c r="D17" s="11"/>
      <c r="E17" s="35"/>
      <c r="F17" s="36"/>
      <c r="G17" s="11"/>
      <c r="H17" s="209"/>
      <c r="I17" s="11"/>
      <c r="J17" s="11"/>
      <c r="K17" s="11"/>
      <c r="Q17" s="11"/>
      <c r="R17" s="11"/>
      <c r="S17" s="11"/>
      <c r="T17" s="11"/>
      <c r="U17" s="11"/>
    </row>
    <row r="18" spans="1:21" x14ac:dyDescent="0.25">
      <c r="A18" s="38"/>
      <c r="B18" s="38"/>
      <c r="C18" s="38"/>
      <c r="D18" s="38"/>
      <c r="E18" s="39"/>
      <c r="F18" s="37"/>
      <c r="G18" s="38"/>
      <c r="H18" s="186"/>
      <c r="I18" s="11"/>
      <c r="J18" s="11"/>
      <c r="K18" s="11"/>
      <c r="Q18" s="11"/>
      <c r="R18" s="11"/>
      <c r="S18" s="11"/>
      <c r="T18" s="11"/>
      <c r="U18" s="11"/>
    </row>
    <row r="19" spans="1:21" x14ac:dyDescent="0.25">
      <c r="B19" s="5"/>
    </row>
    <row r="20" spans="1:21" ht="34.5" x14ac:dyDescent="0.25">
      <c r="B20" s="9" t="s">
        <v>90</v>
      </c>
      <c r="C20" s="9" t="s">
        <v>91</v>
      </c>
      <c r="D20" s="9"/>
      <c r="E20" s="9" t="s">
        <v>437</v>
      </c>
      <c r="F20" s="9" t="s">
        <v>47</v>
      </c>
      <c r="G20" s="9" t="s">
        <v>48</v>
      </c>
      <c r="H20" s="102"/>
      <c r="I20" s="83"/>
    </row>
    <row r="21" spans="1:21" x14ac:dyDescent="0.25">
      <c r="B21" s="3" t="s">
        <v>3</v>
      </c>
      <c r="C21" s="2" t="s">
        <v>2</v>
      </c>
      <c r="D21" s="2" t="s">
        <v>2</v>
      </c>
      <c r="E21" s="2" t="s">
        <v>104</v>
      </c>
      <c r="F21" s="2" t="s">
        <v>13</v>
      </c>
      <c r="G21" s="2" t="s">
        <v>6</v>
      </c>
      <c r="H21" s="154"/>
      <c r="I21" s="24"/>
    </row>
    <row r="22" spans="1:21" ht="12" thickBot="1" x14ac:dyDescent="0.3">
      <c r="A22" s="73" t="s">
        <v>221</v>
      </c>
      <c r="B22" s="50" t="s">
        <v>194</v>
      </c>
      <c r="C22" s="48" t="s">
        <v>195</v>
      </c>
      <c r="D22" s="48" t="s">
        <v>196</v>
      </c>
      <c r="E22" s="47" t="s">
        <v>197</v>
      </c>
      <c r="F22" s="47" t="s">
        <v>198</v>
      </c>
      <c r="G22" s="47" t="s">
        <v>199</v>
      </c>
      <c r="H22" s="214"/>
      <c r="I22" s="8"/>
    </row>
    <row r="23" spans="1:21" s="23" customFormat="1" x14ac:dyDescent="0.25">
      <c r="A23" s="74" t="s">
        <v>158</v>
      </c>
      <c r="B23" s="18" t="s">
        <v>92</v>
      </c>
      <c r="C23" s="22" t="s">
        <v>77</v>
      </c>
      <c r="D23" s="18" t="s">
        <v>66</v>
      </c>
      <c r="E23" s="25">
        <v>615</v>
      </c>
      <c r="F23" s="18">
        <v>1.7000000000000001E-2</v>
      </c>
      <c r="G23" s="18">
        <v>5.0000000000000001E-3</v>
      </c>
      <c r="H23" s="21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s="23" customFormat="1" x14ac:dyDescent="0.25">
      <c r="A24" s="74"/>
      <c r="B24" s="18" t="s">
        <v>93</v>
      </c>
      <c r="C24" s="18" t="s">
        <v>66</v>
      </c>
      <c r="D24" s="19" t="s">
        <v>77</v>
      </c>
      <c r="E24" s="25">
        <v>615</v>
      </c>
      <c r="F24" s="18">
        <v>1.7000000000000001E-2</v>
      </c>
      <c r="G24" s="18">
        <v>5.0000000000000001E-3</v>
      </c>
      <c r="H24" s="2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s="23" customFormat="1" x14ac:dyDescent="0.25">
      <c r="A25" s="74"/>
      <c r="B25" s="20" t="s">
        <v>94</v>
      </c>
      <c r="C25" s="20" t="s">
        <v>66</v>
      </c>
      <c r="D25" s="21" t="s">
        <v>70</v>
      </c>
      <c r="E25" s="26">
        <v>420</v>
      </c>
      <c r="F25" s="20">
        <v>2.5000000000000001E-2</v>
      </c>
      <c r="G25" s="20">
        <v>5.0000000000000001E-3</v>
      </c>
      <c r="H25" s="21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s="23" customFormat="1" x14ac:dyDescent="0.25">
      <c r="A26" s="74"/>
      <c r="B26" s="20" t="s">
        <v>95</v>
      </c>
      <c r="C26" s="21" t="s">
        <v>70</v>
      </c>
      <c r="D26" s="20" t="s">
        <v>66</v>
      </c>
      <c r="E26" s="26">
        <v>420</v>
      </c>
      <c r="F26" s="20">
        <v>2.5000000000000001E-2</v>
      </c>
      <c r="G26" s="20">
        <v>5.0000000000000001E-3</v>
      </c>
      <c r="H26" s="21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s="23" customFormat="1" x14ac:dyDescent="0.25">
      <c r="A27" s="74"/>
      <c r="B27" s="18" t="s">
        <v>96</v>
      </c>
      <c r="C27" s="19" t="s">
        <v>77</v>
      </c>
      <c r="D27" s="19" t="s">
        <v>59</v>
      </c>
      <c r="E27" s="25">
        <v>1800</v>
      </c>
      <c r="F27" s="18">
        <v>0.14000000000000001</v>
      </c>
      <c r="G27" s="18">
        <v>5.0000000000000001E-3</v>
      </c>
      <c r="H27" s="21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s="23" customFormat="1" x14ac:dyDescent="0.25">
      <c r="A28" s="74"/>
      <c r="B28" s="18" t="s">
        <v>97</v>
      </c>
      <c r="C28" s="19" t="s">
        <v>59</v>
      </c>
      <c r="D28" s="19" t="s">
        <v>77</v>
      </c>
      <c r="E28" s="25">
        <v>1800</v>
      </c>
      <c r="F28" s="18">
        <v>0.14000000000000001</v>
      </c>
      <c r="G28" s="18">
        <v>5.0000000000000001E-3</v>
      </c>
      <c r="H28" s="21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s="23" customFormat="1" x14ac:dyDescent="0.25">
      <c r="A29" s="74"/>
      <c r="B29" s="20" t="s">
        <v>98</v>
      </c>
      <c r="C29" s="21" t="s">
        <v>77</v>
      </c>
      <c r="D29" s="21" t="s">
        <v>68</v>
      </c>
      <c r="E29" s="26">
        <v>575</v>
      </c>
      <c r="F29" s="20">
        <v>0.05</v>
      </c>
      <c r="G29" s="20">
        <v>5.0000000000000001E-3</v>
      </c>
      <c r="H29" s="21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s="23" customFormat="1" x14ac:dyDescent="0.25">
      <c r="A30" s="74"/>
      <c r="B30" s="20" t="s">
        <v>99</v>
      </c>
      <c r="C30" s="21" t="s">
        <v>68</v>
      </c>
      <c r="D30" s="21" t="s">
        <v>77</v>
      </c>
      <c r="E30" s="26">
        <v>575</v>
      </c>
      <c r="F30" s="20">
        <v>0.05</v>
      </c>
      <c r="G30" s="20">
        <v>5.0000000000000001E-3</v>
      </c>
      <c r="H30" s="21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s="23" customFormat="1" x14ac:dyDescent="0.25">
      <c r="A31" s="74"/>
      <c r="B31" s="18" t="s">
        <v>100</v>
      </c>
      <c r="C31" s="19" t="s">
        <v>86</v>
      </c>
      <c r="D31" s="19" t="s">
        <v>70</v>
      </c>
      <c r="E31" s="25">
        <v>428</v>
      </c>
      <c r="F31" s="18">
        <v>0.01</v>
      </c>
      <c r="G31" s="18">
        <v>5.0000000000000001E-3</v>
      </c>
      <c r="H31" s="21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s="23" customFormat="1" x14ac:dyDescent="0.25">
      <c r="A32" s="74"/>
      <c r="B32" s="18" t="s">
        <v>101</v>
      </c>
      <c r="C32" s="19" t="s">
        <v>70</v>
      </c>
      <c r="D32" s="19" t="s">
        <v>86</v>
      </c>
      <c r="E32" s="25">
        <v>428</v>
      </c>
      <c r="F32" s="18">
        <v>0.01</v>
      </c>
      <c r="G32" s="18">
        <v>5.0000000000000001E-3</v>
      </c>
      <c r="H32" s="21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9" x14ac:dyDescent="0.25">
      <c r="A33" s="74"/>
      <c r="B33" s="20" t="s">
        <v>102</v>
      </c>
      <c r="C33" s="21" t="s">
        <v>70</v>
      </c>
      <c r="D33" s="21" t="s">
        <v>59</v>
      </c>
      <c r="E33" s="26">
        <v>258</v>
      </c>
      <c r="F33" s="20">
        <v>0.03</v>
      </c>
      <c r="G33" s="20">
        <v>5.0000000000000001E-3</v>
      </c>
      <c r="H33" s="214"/>
      <c r="I33" s="8"/>
    </row>
    <row r="34" spans="1:9" x14ac:dyDescent="0.25">
      <c r="A34" s="74"/>
      <c r="B34" s="20" t="s">
        <v>103</v>
      </c>
      <c r="C34" s="21" t="s">
        <v>59</v>
      </c>
      <c r="D34" s="21" t="s">
        <v>70</v>
      </c>
      <c r="E34" s="26">
        <v>258</v>
      </c>
      <c r="F34" s="20">
        <v>0.03</v>
      </c>
      <c r="G34" s="20">
        <v>5.0000000000000001E-3</v>
      </c>
      <c r="H34" s="214"/>
      <c r="I34" s="8"/>
    </row>
    <row r="35" spans="1:9" x14ac:dyDescent="0.25">
      <c r="A35" s="74"/>
      <c r="B35" s="18" t="s">
        <v>153</v>
      </c>
      <c r="C35" s="19" t="s">
        <v>86</v>
      </c>
      <c r="D35" s="19" t="str">
        <f>C36</f>
        <v>PmNamibia</v>
      </c>
      <c r="E35" s="25">
        <v>360</v>
      </c>
      <c r="F35" s="18">
        <v>0.05</v>
      </c>
      <c r="G35" s="18">
        <v>5.0000000000000001E-3</v>
      </c>
      <c r="H35" s="214"/>
      <c r="I35" s="8"/>
    </row>
    <row r="36" spans="1:9" x14ac:dyDescent="0.25">
      <c r="A36" s="76"/>
      <c r="B36" s="58" t="s">
        <v>154</v>
      </c>
      <c r="C36" s="58" t="s">
        <v>68</v>
      </c>
      <c r="D36" s="58" t="str">
        <f>C35</f>
        <v>PmZambia</v>
      </c>
      <c r="E36" s="82">
        <v>360</v>
      </c>
      <c r="F36" s="58">
        <v>0.05</v>
      </c>
      <c r="G36" s="58">
        <v>5.0000000000000001E-3</v>
      </c>
      <c r="H36" s="214"/>
      <c r="I36" s="8"/>
    </row>
    <row r="37" spans="1:9" x14ac:dyDescent="0.25">
      <c r="A37" s="75" t="s">
        <v>222</v>
      </c>
      <c r="B37" s="8" t="s">
        <v>92</v>
      </c>
      <c r="C37" s="23" t="s">
        <v>77</v>
      </c>
      <c r="D37" s="23" t="s">
        <v>66</v>
      </c>
      <c r="E37" s="25">
        <v>1115</v>
      </c>
      <c r="F37" s="18">
        <v>1.7000000000000001E-2</v>
      </c>
      <c r="G37" s="8">
        <v>5.0000000000000001E-3</v>
      </c>
      <c r="H37" s="214"/>
      <c r="I37" s="8"/>
    </row>
    <row r="38" spans="1:9" x14ac:dyDescent="0.25">
      <c r="A38" s="75"/>
      <c r="B38" s="8" t="s">
        <v>93</v>
      </c>
      <c r="C38" s="23" t="s">
        <v>66</v>
      </c>
      <c r="D38" s="23" t="s">
        <v>77</v>
      </c>
      <c r="E38" s="25">
        <v>1115</v>
      </c>
      <c r="F38" s="18">
        <v>1.7000000000000001E-2</v>
      </c>
      <c r="G38" s="8">
        <v>5.0000000000000001E-3</v>
      </c>
      <c r="H38" s="214"/>
      <c r="I38" s="8"/>
    </row>
    <row r="39" spans="1:9" x14ac:dyDescent="0.25">
      <c r="A39" s="75"/>
      <c r="B39" s="8" t="s">
        <v>94</v>
      </c>
      <c r="C39" s="23" t="s">
        <v>66</v>
      </c>
      <c r="D39" s="23" t="s">
        <v>70</v>
      </c>
      <c r="E39" s="25">
        <v>420</v>
      </c>
      <c r="F39" s="20">
        <v>2.5000000000000001E-2</v>
      </c>
      <c r="G39" s="8">
        <v>5.0000000000000001E-3</v>
      </c>
      <c r="H39" s="214"/>
      <c r="I39" s="8"/>
    </row>
    <row r="40" spans="1:9" x14ac:dyDescent="0.25">
      <c r="A40" s="75"/>
      <c r="B40" s="8" t="s">
        <v>95</v>
      </c>
      <c r="C40" s="23" t="s">
        <v>70</v>
      </c>
      <c r="D40" s="23" t="s">
        <v>66</v>
      </c>
      <c r="E40" s="25">
        <v>420</v>
      </c>
      <c r="F40" s="20">
        <v>2.5000000000000001E-2</v>
      </c>
      <c r="G40" s="8">
        <v>5.0000000000000001E-3</v>
      </c>
      <c r="H40" s="214"/>
      <c r="I40" s="8"/>
    </row>
    <row r="41" spans="1:9" x14ac:dyDescent="0.25">
      <c r="A41" s="75"/>
      <c r="B41" s="8" t="s">
        <v>96</v>
      </c>
      <c r="C41" s="23" t="s">
        <v>77</v>
      </c>
      <c r="D41" s="23" t="s">
        <v>59</v>
      </c>
      <c r="E41" s="25">
        <v>2400</v>
      </c>
      <c r="F41" s="18">
        <v>0.14000000000000001</v>
      </c>
      <c r="G41" s="8">
        <v>5.0000000000000001E-3</v>
      </c>
      <c r="H41" s="214"/>
      <c r="I41" s="8"/>
    </row>
    <row r="42" spans="1:9" x14ac:dyDescent="0.25">
      <c r="A42" s="75"/>
      <c r="B42" s="8" t="s">
        <v>97</v>
      </c>
      <c r="C42" s="23" t="s">
        <v>59</v>
      </c>
      <c r="D42" s="23" t="s">
        <v>77</v>
      </c>
      <c r="E42" s="25">
        <v>2400</v>
      </c>
      <c r="F42" s="18">
        <v>0.14000000000000001</v>
      </c>
      <c r="G42" s="8">
        <v>5.0000000000000001E-3</v>
      </c>
      <c r="H42" s="214"/>
      <c r="I42" s="8"/>
    </row>
    <row r="43" spans="1:9" x14ac:dyDescent="0.25">
      <c r="A43" s="75"/>
      <c r="B43" s="8" t="s">
        <v>98</v>
      </c>
      <c r="C43" s="23" t="s">
        <v>77</v>
      </c>
      <c r="D43" s="23" t="s">
        <v>68</v>
      </c>
      <c r="E43" s="25">
        <v>875</v>
      </c>
      <c r="F43" s="20">
        <v>0.05</v>
      </c>
      <c r="G43" s="8">
        <v>5.0000000000000001E-3</v>
      </c>
      <c r="H43" s="214"/>
      <c r="I43" s="8"/>
    </row>
    <row r="44" spans="1:9" x14ac:dyDescent="0.25">
      <c r="A44" s="75"/>
      <c r="B44" s="8" t="s">
        <v>99</v>
      </c>
      <c r="C44" s="23" t="s">
        <v>68</v>
      </c>
      <c r="D44" s="23" t="s">
        <v>77</v>
      </c>
      <c r="E44" s="25">
        <v>875</v>
      </c>
      <c r="F44" s="20">
        <v>0.05</v>
      </c>
      <c r="G44" s="8">
        <v>5.0000000000000001E-3</v>
      </c>
      <c r="H44" s="214"/>
      <c r="I44" s="8"/>
    </row>
    <row r="45" spans="1:9" x14ac:dyDescent="0.25">
      <c r="A45" s="75"/>
      <c r="B45" s="8" t="s">
        <v>100</v>
      </c>
      <c r="C45" s="23" t="s">
        <v>86</v>
      </c>
      <c r="D45" s="23" t="s">
        <v>70</v>
      </c>
      <c r="E45" s="25">
        <v>428</v>
      </c>
      <c r="F45" s="18">
        <v>0.01</v>
      </c>
      <c r="G45" s="8">
        <v>5.0000000000000001E-3</v>
      </c>
      <c r="H45" s="214"/>
      <c r="I45" s="8"/>
    </row>
    <row r="46" spans="1:9" x14ac:dyDescent="0.25">
      <c r="A46" s="75"/>
      <c r="B46" s="8" t="s">
        <v>101</v>
      </c>
      <c r="C46" s="23" t="s">
        <v>70</v>
      </c>
      <c r="D46" s="23" t="s">
        <v>86</v>
      </c>
      <c r="E46" s="25">
        <v>428</v>
      </c>
      <c r="F46" s="18">
        <v>0.01</v>
      </c>
      <c r="G46" s="8">
        <v>5.0000000000000001E-3</v>
      </c>
      <c r="H46" s="214"/>
      <c r="I46" s="8"/>
    </row>
    <row r="47" spans="1:9" x14ac:dyDescent="0.25">
      <c r="A47" s="75"/>
      <c r="B47" s="8" t="s">
        <v>102</v>
      </c>
      <c r="C47" s="23" t="s">
        <v>70</v>
      </c>
      <c r="D47" s="23" t="s">
        <v>59</v>
      </c>
      <c r="E47" s="25">
        <v>758</v>
      </c>
      <c r="F47" s="20">
        <v>0.03</v>
      </c>
      <c r="G47" s="8">
        <v>5.0000000000000001E-3</v>
      </c>
      <c r="H47" s="214"/>
      <c r="I47" s="8"/>
    </row>
    <row r="48" spans="1:9" x14ac:dyDescent="0.25">
      <c r="A48" s="75"/>
      <c r="B48" s="8" t="s">
        <v>103</v>
      </c>
      <c r="C48" s="23" t="s">
        <v>59</v>
      </c>
      <c r="D48" s="23" t="s">
        <v>70</v>
      </c>
      <c r="E48" s="25">
        <v>758</v>
      </c>
      <c r="F48" s="20">
        <v>0.03</v>
      </c>
      <c r="G48" s="8">
        <v>5.0000000000000001E-3</v>
      </c>
      <c r="H48" s="214"/>
      <c r="I48" s="8"/>
    </row>
    <row r="49" spans="1:9" x14ac:dyDescent="0.25">
      <c r="A49" s="75"/>
      <c r="B49" s="8" t="s">
        <v>153</v>
      </c>
      <c r="C49" s="23" t="s">
        <v>86</v>
      </c>
      <c r="D49" s="23" t="s">
        <v>68</v>
      </c>
      <c r="E49" s="25">
        <v>360</v>
      </c>
      <c r="F49" s="18">
        <v>0.05</v>
      </c>
      <c r="G49" s="8">
        <v>5.0000000000000001E-3</v>
      </c>
      <c r="H49" s="214"/>
      <c r="I49" s="8"/>
    </row>
    <row r="50" spans="1:9" x14ac:dyDescent="0.25">
      <c r="A50" s="75"/>
      <c r="B50" s="8" t="s">
        <v>154</v>
      </c>
      <c r="C50" s="23" t="s">
        <v>68</v>
      </c>
      <c r="D50" s="23" t="s">
        <v>86</v>
      </c>
      <c r="E50" s="25">
        <v>360</v>
      </c>
      <c r="F50" s="18">
        <v>0.05</v>
      </c>
      <c r="G50" s="8">
        <v>5.0000000000000001E-3</v>
      </c>
      <c r="H50" s="214"/>
      <c r="I50" s="8"/>
    </row>
    <row r="51" spans="1:9" x14ac:dyDescent="0.25">
      <c r="A51" s="75"/>
      <c r="B51" s="8" t="s">
        <v>431</v>
      </c>
      <c r="C51" s="23" t="s">
        <v>59</v>
      </c>
      <c r="D51" s="23" t="s">
        <v>67</v>
      </c>
      <c r="E51" s="25">
        <v>700</v>
      </c>
      <c r="F51" s="8">
        <v>0.03</v>
      </c>
      <c r="G51" s="8">
        <v>5.0000000000000001E-3</v>
      </c>
      <c r="H51" s="214"/>
      <c r="I51" s="8"/>
    </row>
    <row r="52" spans="1:9" x14ac:dyDescent="0.25">
      <c r="A52" s="75"/>
      <c r="B52" s="8" t="s">
        <v>432</v>
      </c>
      <c r="C52" s="23" t="s">
        <v>67</v>
      </c>
      <c r="D52" s="23" t="s">
        <v>59</v>
      </c>
      <c r="E52" s="25">
        <v>700</v>
      </c>
      <c r="F52" s="8">
        <v>0.03</v>
      </c>
      <c r="G52" s="8">
        <v>5.0000000000000001E-3</v>
      </c>
      <c r="H52" s="214"/>
      <c r="I52" s="8"/>
    </row>
    <row r="53" spans="1:9" x14ac:dyDescent="0.25">
      <c r="A53" s="75"/>
      <c r="B53" s="8" t="s">
        <v>433</v>
      </c>
      <c r="C53" s="23" t="s">
        <v>69</v>
      </c>
      <c r="D53" s="23" t="s">
        <v>86</v>
      </c>
      <c r="E53" s="25">
        <v>350</v>
      </c>
      <c r="F53" s="8">
        <v>0.06</v>
      </c>
      <c r="G53" s="8">
        <v>5.0000000000000001E-3</v>
      </c>
      <c r="H53" s="214"/>
      <c r="I53" s="8"/>
    </row>
    <row r="54" spans="1:9" x14ac:dyDescent="0.25">
      <c r="A54" s="75"/>
      <c r="B54" s="8" t="s">
        <v>434</v>
      </c>
      <c r="C54" s="23" t="s">
        <v>86</v>
      </c>
      <c r="D54" s="23" t="s">
        <v>69</v>
      </c>
      <c r="E54" s="25">
        <v>350</v>
      </c>
      <c r="F54" s="8">
        <v>0.06</v>
      </c>
      <c r="G54" s="8">
        <v>5.0000000000000001E-3</v>
      </c>
      <c r="H54" s="214"/>
      <c r="I54" s="8"/>
    </row>
    <row r="55" spans="1:9" x14ac:dyDescent="0.25">
      <c r="A55" s="75"/>
      <c r="B55" s="8" t="s">
        <v>435</v>
      </c>
      <c r="C55" s="23" t="s">
        <v>68</v>
      </c>
      <c r="D55" s="23" t="s">
        <v>65</v>
      </c>
      <c r="E55" s="25">
        <v>350</v>
      </c>
      <c r="F55" s="8">
        <v>0.01</v>
      </c>
      <c r="G55" s="8">
        <v>5.0000000000000001E-3</v>
      </c>
      <c r="H55" s="214"/>
      <c r="I55" s="8"/>
    </row>
    <row r="56" spans="1:9" x14ac:dyDescent="0.25">
      <c r="A56" s="75"/>
      <c r="B56" s="8" t="s">
        <v>436</v>
      </c>
      <c r="C56" s="23" t="s">
        <v>65</v>
      </c>
      <c r="D56" s="23" t="s">
        <v>68</v>
      </c>
      <c r="E56" s="25">
        <v>350</v>
      </c>
      <c r="F56" s="8">
        <v>0.01</v>
      </c>
      <c r="G56" s="8">
        <v>5.0000000000000001E-3</v>
      </c>
      <c r="H56" s="214"/>
      <c r="I56" s="8"/>
    </row>
    <row r="57" spans="1:9" x14ac:dyDescent="0.25">
      <c r="A57" s="75"/>
      <c r="B57" s="8" t="s">
        <v>459</v>
      </c>
      <c r="C57" s="23" t="s">
        <v>86</v>
      </c>
      <c r="D57" s="23" t="s">
        <v>70</v>
      </c>
      <c r="E57" s="25">
        <v>1400</v>
      </c>
      <c r="F57" s="8">
        <v>0.06</v>
      </c>
      <c r="G57" s="8">
        <v>5.0000000000000001E-3</v>
      </c>
      <c r="H57" s="214"/>
      <c r="I57" s="8"/>
    </row>
    <row r="58" spans="1:9" x14ac:dyDescent="0.25">
      <c r="A58" s="75"/>
      <c r="B58" s="8" t="s">
        <v>460</v>
      </c>
      <c r="C58" s="23" t="s">
        <v>70</v>
      </c>
      <c r="D58" s="23" t="s">
        <v>86</v>
      </c>
      <c r="E58" s="25">
        <v>1400</v>
      </c>
      <c r="F58" s="8">
        <v>0.06</v>
      </c>
      <c r="G58" s="8">
        <v>5.0000000000000001E-3</v>
      </c>
      <c r="H58" s="214"/>
      <c r="I58" s="8"/>
    </row>
    <row r="59" spans="1:9" x14ac:dyDescent="0.25">
      <c r="A59" s="75"/>
      <c r="B59" s="8" t="s">
        <v>467</v>
      </c>
      <c r="C59" s="23" t="s">
        <v>68</v>
      </c>
      <c r="D59" s="23" t="s">
        <v>77</v>
      </c>
      <c r="E59" s="25">
        <v>1400</v>
      </c>
      <c r="F59" s="8">
        <v>0.08</v>
      </c>
      <c r="G59" s="8">
        <v>5.0000000000000001E-3</v>
      </c>
      <c r="H59" s="214"/>
      <c r="I59" s="8"/>
    </row>
    <row r="60" spans="1:9" x14ac:dyDescent="0.25">
      <c r="A60" s="75"/>
      <c r="B60" s="8" t="s">
        <v>468</v>
      </c>
      <c r="C60" s="23" t="s">
        <v>77</v>
      </c>
      <c r="D60" s="23" t="s">
        <v>68</v>
      </c>
      <c r="E60" s="25">
        <v>1400</v>
      </c>
      <c r="F60" s="8">
        <v>0.08</v>
      </c>
      <c r="G60" s="8">
        <v>5.0000000000000001E-3</v>
      </c>
      <c r="H60" s="214"/>
      <c r="I60" s="8"/>
    </row>
    <row r="61" spans="1:9" x14ac:dyDescent="0.25">
      <c r="A61" s="75"/>
      <c r="B61" s="8" t="s">
        <v>461</v>
      </c>
      <c r="C61" s="23" t="s">
        <v>65</v>
      </c>
      <c r="D61" s="23" t="s">
        <v>66</v>
      </c>
      <c r="E61" s="25">
        <v>1400</v>
      </c>
      <c r="F61" s="8">
        <v>0.24</v>
      </c>
      <c r="G61" s="8">
        <v>5.0000000000000001E-3</v>
      </c>
      <c r="H61" s="214"/>
      <c r="I61" s="8"/>
    </row>
    <row r="62" spans="1:9" x14ac:dyDescent="0.25">
      <c r="A62" s="75"/>
      <c r="B62" s="8" t="s">
        <v>462</v>
      </c>
      <c r="C62" s="23" t="s">
        <v>66</v>
      </c>
      <c r="D62" s="23" t="s">
        <v>65</v>
      </c>
      <c r="E62" s="25">
        <v>1400</v>
      </c>
      <c r="F62" s="8">
        <v>0.24</v>
      </c>
      <c r="G62" s="8">
        <v>5.0000000000000001E-3</v>
      </c>
      <c r="H62" s="214"/>
      <c r="I62" s="8"/>
    </row>
    <row r="63" spans="1:9" x14ac:dyDescent="0.25">
      <c r="A63" s="75"/>
      <c r="B63" s="8" t="s">
        <v>463</v>
      </c>
      <c r="C63" s="23" t="s">
        <v>59</v>
      </c>
      <c r="D63" s="23" t="s">
        <v>70</v>
      </c>
      <c r="E63" s="25">
        <v>450</v>
      </c>
      <c r="F63" s="8">
        <v>0.03</v>
      </c>
      <c r="G63" s="8">
        <v>5.0000000000000001E-3</v>
      </c>
      <c r="H63" s="214"/>
      <c r="I63" s="8"/>
    </row>
    <row r="64" spans="1:9" x14ac:dyDescent="0.25">
      <c r="A64" s="75"/>
      <c r="B64" s="8" t="s">
        <v>464</v>
      </c>
      <c r="C64" s="23" t="s">
        <v>70</v>
      </c>
      <c r="D64" s="23" t="s">
        <v>59</v>
      </c>
      <c r="E64" s="25">
        <v>450</v>
      </c>
      <c r="F64" s="8">
        <v>0.03</v>
      </c>
      <c r="G64" s="8">
        <v>5.0000000000000001E-3</v>
      </c>
      <c r="H64" s="214"/>
      <c r="I64" s="8"/>
    </row>
    <row r="65" spans="1:9" x14ac:dyDescent="0.25">
      <c r="A65" s="75"/>
      <c r="B65" s="8" t="s">
        <v>470</v>
      </c>
      <c r="C65" s="23" t="s">
        <v>59</v>
      </c>
      <c r="D65" s="23" t="s">
        <v>77</v>
      </c>
      <c r="E65" s="25">
        <v>500</v>
      </c>
      <c r="F65" s="8">
        <v>0.05</v>
      </c>
      <c r="G65" s="8">
        <v>5.0000000000000001E-3</v>
      </c>
      <c r="H65" s="214"/>
      <c r="I65" s="8"/>
    </row>
    <row r="66" spans="1:9" x14ac:dyDescent="0.25">
      <c r="A66" s="75"/>
      <c r="B66" s="8" t="s">
        <v>465</v>
      </c>
      <c r="C66" s="23" t="s">
        <v>77</v>
      </c>
      <c r="D66" s="23" t="s">
        <v>59</v>
      </c>
      <c r="E66" s="25">
        <v>500</v>
      </c>
      <c r="F66" s="8">
        <v>0.05</v>
      </c>
      <c r="G66" s="8">
        <v>5.0000000000000001E-3</v>
      </c>
      <c r="H66" s="214"/>
      <c r="I66" s="8"/>
    </row>
    <row r="67" spans="1:9" x14ac:dyDescent="0.25">
      <c r="A67" s="75"/>
      <c r="B67" s="8" t="s">
        <v>466</v>
      </c>
      <c r="C67" s="23" t="s">
        <v>77</v>
      </c>
      <c r="D67" s="23" t="s">
        <v>70</v>
      </c>
      <c r="E67" s="25">
        <v>1400</v>
      </c>
      <c r="F67" s="8">
        <v>0.06</v>
      </c>
      <c r="G67" s="8">
        <v>5.0000000000000001E-3</v>
      </c>
      <c r="H67" s="214"/>
      <c r="I67" s="8"/>
    </row>
    <row r="68" spans="1:9" x14ac:dyDescent="0.25">
      <c r="A68" s="79"/>
      <c r="B68" s="59" t="s">
        <v>469</v>
      </c>
      <c r="C68" s="59" t="s">
        <v>70</v>
      </c>
      <c r="D68" s="59" t="s">
        <v>77</v>
      </c>
      <c r="E68" s="82">
        <v>1400</v>
      </c>
      <c r="F68" s="59">
        <v>0.06</v>
      </c>
      <c r="G68" s="59">
        <v>5.0000000000000001E-3</v>
      </c>
      <c r="H68" s="214"/>
      <c r="I68" s="8"/>
    </row>
    <row r="69" spans="1:9" x14ac:dyDescent="0.25">
      <c r="A69" s="75" t="s">
        <v>236</v>
      </c>
      <c r="B69" s="8" t="s">
        <v>92</v>
      </c>
      <c r="C69" s="23" t="s">
        <v>77</v>
      </c>
      <c r="D69" s="23" t="s">
        <v>66</v>
      </c>
      <c r="E69" s="81">
        <v>9999</v>
      </c>
      <c r="F69" s="18">
        <v>1.7000000000000001E-2</v>
      </c>
      <c r="G69" s="8">
        <v>5.0000000000000001E-3</v>
      </c>
      <c r="H69" s="214"/>
      <c r="I69" s="8"/>
    </row>
    <row r="70" spans="1:9" x14ac:dyDescent="0.25">
      <c r="A70" s="75"/>
      <c r="B70" s="8" t="s">
        <v>93</v>
      </c>
      <c r="C70" s="23" t="s">
        <v>66</v>
      </c>
      <c r="D70" s="23" t="s">
        <v>77</v>
      </c>
      <c r="E70" s="8">
        <v>9999</v>
      </c>
      <c r="F70" s="18">
        <v>1.7000000000000001E-2</v>
      </c>
      <c r="G70" s="8">
        <v>5.0000000000000001E-3</v>
      </c>
      <c r="H70" s="214"/>
      <c r="I70" s="8"/>
    </row>
    <row r="71" spans="1:9" x14ac:dyDescent="0.25">
      <c r="A71" s="75"/>
      <c r="B71" s="8" t="s">
        <v>94</v>
      </c>
      <c r="C71" s="23" t="s">
        <v>66</v>
      </c>
      <c r="D71" s="23" t="s">
        <v>70</v>
      </c>
      <c r="E71" s="8">
        <v>9999</v>
      </c>
      <c r="F71" s="20">
        <v>2.5000000000000001E-2</v>
      </c>
      <c r="G71" s="8">
        <v>5.0000000000000001E-3</v>
      </c>
      <c r="H71" s="214"/>
      <c r="I71" s="8"/>
    </row>
    <row r="72" spans="1:9" x14ac:dyDescent="0.25">
      <c r="A72" s="75"/>
      <c r="B72" s="8" t="s">
        <v>95</v>
      </c>
      <c r="C72" s="23" t="s">
        <v>70</v>
      </c>
      <c r="D72" s="23" t="s">
        <v>66</v>
      </c>
      <c r="E72" s="8">
        <v>9999</v>
      </c>
      <c r="F72" s="20">
        <v>2.5000000000000001E-2</v>
      </c>
      <c r="G72" s="8">
        <v>5.0000000000000001E-3</v>
      </c>
      <c r="H72" s="214"/>
      <c r="I72" s="8"/>
    </row>
    <row r="73" spans="1:9" x14ac:dyDescent="0.25">
      <c r="A73" s="75"/>
      <c r="B73" s="8" t="s">
        <v>96</v>
      </c>
      <c r="C73" s="23" t="s">
        <v>77</v>
      </c>
      <c r="D73" s="23" t="s">
        <v>59</v>
      </c>
      <c r="E73" s="8">
        <v>9999</v>
      </c>
      <c r="F73" s="18">
        <v>0.14000000000000001</v>
      </c>
      <c r="G73" s="8">
        <v>5.0000000000000001E-3</v>
      </c>
      <c r="H73" s="214"/>
      <c r="I73" s="8"/>
    </row>
    <row r="74" spans="1:9" x14ac:dyDescent="0.25">
      <c r="A74" s="75"/>
      <c r="B74" s="8" t="s">
        <v>97</v>
      </c>
      <c r="C74" s="23" t="s">
        <v>59</v>
      </c>
      <c r="D74" s="23" t="s">
        <v>77</v>
      </c>
      <c r="E74" s="8">
        <v>9999</v>
      </c>
      <c r="F74" s="18">
        <v>0.14000000000000001</v>
      </c>
      <c r="G74" s="8">
        <v>5.0000000000000001E-3</v>
      </c>
      <c r="H74" s="214"/>
      <c r="I74" s="8"/>
    </row>
    <row r="75" spans="1:9" x14ac:dyDescent="0.25">
      <c r="A75" s="75"/>
      <c r="B75" s="8" t="s">
        <v>98</v>
      </c>
      <c r="C75" s="23" t="s">
        <v>77</v>
      </c>
      <c r="D75" s="23" t="s">
        <v>68</v>
      </c>
      <c r="E75" s="8">
        <v>9999</v>
      </c>
      <c r="F75" s="20">
        <v>0.05</v>
      </c>
      <c r="G75" s="8">
        <v>5.0000000000000001E-3</v>
      </c>
      <c r="H75" s="214"/>
    </row>
    <row r="76" spans="1:9" x14ac:dyDescent="0.25">
      <c r="A76" s="75"/>
      <c r="B76" s="8" t="s">
        <v>99</v>
      </c>
      <c r="C76" s="23" t="s">
        <v>68</v>
      </c>
      <c r="D76" s="23" t="s">
        <v>77</v>
      </c>
      <c r="E76" s="8">
        <v>9999</v>
      </c>
      <c r="F76" s="20">
        <v>0.05</v>
      </c>
      <c r="G76" s="8">
        <v>5.0000000000000001E-3</v>
      </c>
      <c r="H76" s="214"/>
    </row>
    <row r="77" spans="1:9" x14ac:dyDescent="0.25">
      <c r="A77" s="75"/>
      <c r="B77" s="8" t="s">
        <v>100</v>
      </c>
      <c r="C77" s="23" t="s">
        <v>86</v>
      </c>
      <c r="D77" s="23" t="s">
        <v>70</v>
      </c>
      <c r="E77" s="8">
        <v>9999</v>
      </c>
      <c r="F77" s="18">
        <v>0.01</v>
      </c>
      <c r="G77" s="8">
        <v>5.0000000000000001E-3</v>
      </c>
      <c r="H77" s="214"/>
    </row>
    <row r="78" spans="1:9" x14ac:dyDescent="0.25">
      <c r="A78" s="75"/>
      <c r="B78" s="8" t="s">
        <v>101</v>
      </c>
      <c r="C78" s="23" t="s">
        <v>70</v>
      </c>
      <c r="D78" s="23" t="s">
        <v>86</v>
      </c>
      <c r="E78" s="8">
        <v>9999</v>
      </c>
      <c r="F78" s="18">
        <v>0.01</v>
      </c>
      <c r="G78" s="8">
        <v>5.0000000000000001E-3</v>
      </c>
      <c r="H78" s="214"/>
    </row>
    <row r="79" spans="1:9" x14ac:dyDescent="0.25">
      <c r="A79" s="75"/>
      <c r="B79" s="8" t="s">
        <v>102</v>
      </c>
      <c r="C79" s="23" t="s">
        <v>70</v>
      </c>
      <c r="D79" s="23" t="s">
        <v>59</v>
      </c>
      <c r="E79" s="8">
        <v>9999</v>
      </c>
      <c r="F79" s="20">
        <v>0.03</v>
      </c>
      <c r="G79" s="8">
        <v>5.0000000000000001E-3</v>
      </c>
      <c r="H79" s="214"/>
    </row>
    <row r="80" spans="1:9" x14ac:dyDescent="0.25">
      <c r="A80" s="75"/>
      <c r="B80" s="8" t="s">
        <v>103</v>
      </c>
      <c r="C80" s="23" t="s">
        <v>59</v>
      </c>
      <c r="D80" s="23" t="s">
        <v>70</v>
      </c>
      <c r="E80" s="8">
        <v>9999</v>
      </c>
      <c r="F80" s="20">
        <v>0.03</v>
      </c>
      <c r="G80" s="8">
        <v>5.0000000000000001E-3</v>
      </c>
      <c r="H80" s="214"/>
    </row>
    <row r="81" spans="1:9" x14ac:dyDescent="0.25">
      <c r="A81" s="75"/>
      <c r="B81" s="8" t="s">
        <v>153</v>
      </c>
      <c r="C81" s="23" t="s">
        <v>86</v>
      </c>
      <c r="D81" s="23" t="s">
        <v>68</v>
      </c>
      <c r="E81" s="8">
        <v>9999</v>
      </c>
      <c r="F81" s="18">
        <v>0.05</v>
      </c>
      <c r="G81" s="8">
        <v>5.0000000000000001E-3</v>
      </c>
      <c r="H81" s="214"/>
    </row>
    <row r="82" spans="1:9" x14ac:dyDescent="0.25">
      <c r="A82" s="75"/>
      <c r="B82" s="8" t="s">
        <v>154</v>
      </c>
      <c r="C82" s="23" t="s">
        <v>68</v>
      </c>
      <c r="D82" s="23" t="s">
        <v>86</v>
      </c>
      <c r="E82" s="8">
        <v>9999</v>
      </c>
      <c r="F82" s="18">
        <v>0.05</v>
      </c>
      <c r="G82" s="8">
        <v>5.0000000000000001E-3</v>
      </c>
      <c r="H82" s="214"/>
    </row>
    <row r="83" spans="1:9" x14ac:dyDescent="0.25">
      <c r="A83" s="75"/>
      <c r="B83" s="8" t="s">
        <v>223</v>
      </c>
      <c r="C83" s="23" t="s">
        <v>59</v>
      </c>
      <c r="D83" s="23" t="s">
        <v>67</v>
      </c>
      <c r="E83" s="8">
        <v>9999</v>
      </c>
      <c r="F83" s="8">
        <v>0.05</v>
      </c>
      <c r="G83" s="8">
        <v>5.0000000000000001E-3</v>
      </c>
      <c r="H83" s="214"/>
    </row>
    <row r="84" spans="1:9" x14ac:dyDescent="0.25">
      <c r="A84" s="75"/>
      <c r="B84" s="8" t="s">
        <v>224</v>
      </c>
      <c r="C84" s="23" t="s">
        <v>67</v>
      </c>
      <c r="D84" s="23" t="s">
        <v>59</v>
      </c>
      <c r="E84" s="8">
        <v>9999</v>
      </c>
      <c r="F84" s="8">
        <v>0.05</v>
      </c>
      <c r="G84" s="8">
        <v>5.0000000000000001E-3</v>
      </c>
      <c r="H84" s="214"/>
    </row>
    <row r="85" spans="1:9" x14ac:dyDescent="0.25">
      <c r="A85" s="75"/>
      <c r="B85" s="8" t="s">
        <v>225</v>
      </c>
      <c r="C85" s="23" t="s">
        <v>69</v>
      </c>
      <c r="D85" s="23" t="s">
        <v>86</v>
      </c>
      <c r="E85" s="8">
        <v>9999</v>
      </c>
      <c r="F85" s="8">
        <v>0.05</v>
      </c>
      <c r="G85" s="8">
        <v>5.0000000000000001E-3</v>
      </c>
      <c r="H85" s="214"/>
    </row>
    <row r="86" spans="1:9" x14ac:dyDescent="0.25">
      <c r="A86" s="75"/>
      <c r="B86" s="8" t="s">
        <v>226</v>
      </c>
      <c r="C86" s="23" t="s">
        <v>86</v>
      </c>
      <c r="D86" s="23" t="s">
        <v>69</v>
      </c>
      <c r="E86" s="8">
        <v>9999</v>
      </c>
      <c r="F86" s="8">
        <v>0.05</v>
      </c>
      <c r="G86" s="8">
        <v>5.0000000000000001E-3</v>
      </c>
      <c r="H86" s="214"/>
      <c r="I86" s="8"/>
    </row>
    <row r="87" spans="1:9" x14ac:dyDescent="0.25">
      <c r="A87" s="80"/>
      <c r="B87" s="8" t="s">
        <v>227</v>
      </c>
      <c r="C87" s="8" t="s">
        <v>68</v>
      </c>
      <c r="D87" s="8" t="s">
        <v>65</v>
      </c>
      <c r="E87" s="8">
        <v>9999</v>
      </c>
      <c r="F87" s="8">
        <v>0.05</v>
      </c>
      <c r="G87" s="8">
        <v>5.0000000000000001E-3</v>
      </c>
      <c r="H87" s="214"/>
      <c r="I87" s="8"/>
    </row>
    <row r="88" spans="1:9" x14ac:dyDescent="0.25">
      <c r="A88" s="79"/>
      <c r="B88" s="59" t="s">
        <v>228</v>
      </c>
      <c r="C88" s="59" t="s">
        <v>65</v>
      </c>
      <c r="D88" s="59" t="s">
        <v>68</v>
      </c>
      <c r="E88" s="59">
        <v>9999</v>
      </c>
      <c r="F88" s="59">
        <v>0.05</v>
      </c>
      <c r="G88" s="59">
        <v>5.0000000000000001E-3</v>
      </c>
      <c r="H88" s="214"/>
      <c r="I88" s="8"/>
    </row>
    <row r="89" spans="1:9" x14ac:dyDescent="0.25">
      <c r="A89" s="74" t="s">
        <v>237</v>
      </c>
      <c r="B89" s="18" t="s">
        <v>92</v>
      </c>
      <c r="C89" s="22" t="s">
        <v>77</v>
      </c>
      <c r="D89" s="18" t="s">
        <v>66</v>
      </c>
      <c r="E89" s="25">
        <v>800</v>
      </c>
      <c r="F89" s="18">
        <v>1.7000000000000001E-2</v>
      </c>
      <c r="G89" s="18">
        <v>5.0000000000000001E-3</v>
      </c>
      <c r="H89" s="214"/>
      <c r="I89" s="8"/>
    </row>
    <row r="90" spans="1:9" x14ac:dyDescent="0.25">
      <c r="A90" s="74"/>
      <c r="B90" s="18" t="s">
        <v>93</v>
      </c>
      <c r="C90" s="18" t="s">
        <v>66</v>
      </c>
      <c r="D90" s="19" t="s">
        <v>77</v>
      </c>
      <c r="E90" s="25">
        <v>800</v>
      </c>
      <c r="F90" s="18">
        <v>1.7000000000000001E-2</v>
      </c>
      <c r="G90" s="18">
        <v>5.0000000000000001E-3</v>
      </c>
      <c r="H90" s="214"/>
      <c r="I90" s="8"/>
    </row>
    <row r="91" spans="1:9" x14ac:dyDescent="0.25">
      <c r="A91" s="74"/>
      <c r="B91" s="20" t="s">
        <v>94</v>
      </c>
      <c r="C91" s="20" t="s">
        <v>66</v>
      </c>
      <c r="D91" s="21" t="s">
        <v>70</v>
      </c>
      <c r="E91" s="26">
        <v>650</v>
      </c>
      <c r="F91" s="20">
        <v>2.5000000000000001E-2</v>
      </c>
      <c r="G91" s="20">
        <v>5.0000000000000001E-3</v>
      </c>
      <c r="H91" s="214"/>
      <c r="I91" s="8"/>
    </row>
    <row r="92" spans="1:9" x14ac:dyDescent="0.25">
      <c r="A92" s="74"/>
      <c r="B92" s="20" t="s">
        <v>95</v>
      </c>
      <c r="C92" s="21" t="s">
        <v>70</v>
      </c>
      <c r="D92" s="20" t="s">
        <v>66</v>
      </c>
      <c r="E92" s="26">
        <v>650</v>
      </c>
      <c r="F92" s="20">
        <v>2.5000000000000001E-2</v>
      </c>
      <c r="G92" s="20">
        <v>5.0000000000000001E-3</v>
      </c>
      <c r="H92" s="214"/>
      <c r="I92" s="8"/>
    </row>
    <row r="93" spans="1:9" x14ac:dyDescent="0.25">
      <c r="A93" s="74"/>
      <c r="B93" s="18" t="s">
        <v>96</v>
      </c>
      <c r="C93" s="19" t="s">
        <v>77</v>
      </c>
      <c r="D93" s="19" t="s">
        <v>59</v>
      </c>
      <c r="E93" s="25">
        <v>3850</v>
      </c>
      <c r="F93" s="18">
        <v>0.14000000000000001</v>
      </c>
      <c r="G93" s="18">
        <v>5.0000000000000001E-3</v>
      </c>
      <c r="H93" s="214"/>
      <c r="I93" s="8"/>
    </row>
    <row r="94" spans="1:9" x14ac:dyDescent="0.25">
      <c r="A94" s="74"/>
      <c r="B94" s="18" t="s">
        <v>97</v>
      </c>
      <c r="C94" s="19" t="s">
        <v>59</v>
      </c>
      <c r="D94" s="19" t="s">
        <v>77</v>
      </c>
      <c r="E94" s="25">
        <v>3850</v>
      </c>
      <c r="F94" s="18">
        <v>0.14000000000000001</v>
      </c>
      <c r="G94" s="18">
        <v>5.0000000000000001E-3</v>
      </c>
      <c r="H94" s="214"/>
      <c r="I94" s="8"/>
    </row>
    <row r="95" spans="1:9" x14ac:dyDescent="0.25">
      <c r="A95" s="74"/>
      <c r="B95" s="20" t="s">
        <v>98</v>
      </c>
      <c r="C95" s="21" t="s">
        <v>77</v>
      </c>
      <c r="D95" s="21" t="s">
        <v>68</v>
      </c>
      <c r="E95" s="26">
        <v>750</v>
      </c>
      <c r="F95" s="20">
        <v>0.05</v>
      </c>
      <c r="G95" s="20">
        <v>5.0000000000000001E-3</v>
      </c>
      <c r="H95" s="214"/>
      <c r="I95" s="8"/>
    </row>
    <row r="96" spans="1:9" x14ac:dyDescent="0.25">
      <c r="A96" s="74"/>
      <c r="B96" s="20" t="s">
        <v>99</v>
      </c>
      <c r="C96" s="21" t="s">
        <v>68</v>
      </c>
      <c r="D96" s="21" t="s">
        <v>77</v>
      </c>
      <c r="E96" s="26">
        <v>750</v>
      </c>
      <c r="F96" s="20">
        <v>0.05</v>
      </c>
      <c r="G96" s="20">
        <v>5.0000000000000001E-3</v>
      </c>
      <c r="H96" s="214"/>
      <c r="I96" s="8"/>
    </row>
    <row r="97" spans="1:9" x14ac:dyDescent="0.25">
      <c r="A97" s="74"/>
      <c r="B97" s="18" t="s">
        <v>100</v>
      </c>
      <c r="C97" s="19" t="s">
        <v>86</v>
      </c>
      <c r="D97" s="19" t="s">
        <v>70</v>
      </c>
      <c r="E97" s="25">
        <v>1400</v>
      </c>
      <c r="F97" s="18">
        <v>0.01</v>
      </c>
      <c r="G97" s="18">
        <v>5.0000000000000001E-3</v>
      </c>
      <c r="H97" s="214"/>
      <c r="I97" s="8"/>
    </row>
    <row r="98" spans="1:9" x14ac:dyDescent="0.25">
      <c r="A98" s="74"/>
      <c r="B98" s="18" t="s">
        <v>101</v>
      </c>
      <c r="C98" s="19" t="s">
        <v>70</v>
      </c>
      <c r="D98" s="19" t="s">
        <v>86</v>
      </c>
      <c r="E98" s="25">
        <v>1400</v>
      </c>
      <c r="F98" s="18">
        <v>0.01</v>
      </c>
      <c r="G98" s="18">
        <v>5.0000000000000001E-3</v>
      </c>
      <c r="H98" s="214"/>
      <c r="I98" s="8"/>
    </row>
    <row r="99" spans="1:9" x14ac:dyDescent="0.25">
      <c r="A99" s="74"/>
      <c r="B99" s="20" t="s">
        <v>102</v>
      </c>
      <c r="C99" s="21" t="s">
        <v>70</v>
      </c>
      <c r="D99" s="21" t="s">
        <v>59</v>
      </c>
      <c r="E99" s="26">
        <v>330</v>
      </c>
      <c r="F99" s="20">
        <v>0.03</v>
      </c>
      <c r="G99" s="20">
        <v>5.0000000000000001E-3</v>
      </c>
      <c r="H99" s="214"/>
      <c r="I99" s="8"/>
    </row>
    <row r="100" spans="1:9" x14ac:dyDescent="0.25">
      <c r="A100" s="74"/>
      <c r="B100" s="20" t="s">
        <v>103</v>
      </c>
      <c r="C100" s="21" t="s">
        <v>59</v>
      </c>
      <c r="D100" s="21" t="s">
        <v>70</v>
      </c>
      <c r="E100" s="26">
        <v>330</v>
      </c>
      <c r="F100" s="20">
        <v>0.03</v>
      </c>
      <c r="G100" s="20">
        <v>5.0000000000000001E-3</v>
      </c>
      <c r="H100" s="214"/>
      <c r="I100" s="8"/>
    </row>
    <row r="101" spans="1:9" x14ac:dyDescent="0.25">
      <c r="A101" s="74"/>
      <c r="B101" s="18" t="s">
        <v>238</v>
      </c>
      <c r="C101" s="19" t="s">
        <v>77</v>
      </c>
      <c r="D101" s="19" t="s">
        <v>70</v>
      </c>
      <c r="E101" s="25">
        <v>600</v>
      </c>
      <c r="F101" s="18">
        <v>0.01</v>
      </c>
      <c r="G101" s="18">
        <v>5.0000000000000001E-3</v>
      </c>
      <c r="H101" s="214"/>
      <c r="I101" s="8"/>
    </row>
    <row r="102" spans="1:9" x14ac:dyDescent="0.25">
      <c r="A102" s="76"/>
      <c r="B102" s="58" t="s">
        <v>239</v>
      </c>
      <c r="C102" s="58" t="s">
        <v>70</v>
      </c>
      <c r="D102" s="58" t="s">
        <v>77</v>
      </c>
      <c r="E102" s="82">
        <v>600</v>
      </c>
      <c r="F102" s="58">
        <v>0.01</v>
      </c>
      <c r="G102" s="58">
        <v>5.0000000000000001E-3</v>
      </c>
      <c r="H102" s="214"/>
      <c r="I102" s="8"/>
    </row>
    <row r="103" spans="1:9" x14ac:dyDescent="0.25">
      <c r="A103" s="215" t="s">
        <v>430</v>
      </c>
      <c r="B103" s="18" t="s">
        <v>92</v>
      </c>
      <c r="C103" s="22" t="s">
        <v>77</v>
      </c>
      <c r="D103" s="18" t="s">
        <v>66</v>
      </c>
      <c r="E103" s="25">
        <v>615</v>
      </c>
      <c r="F103" s="18">
        <v>1.7000000000000001E-2</v>
      </c>
      <c r="G103" s="18">
        <v>5.0000000000000001E-3</v>
      </c>
      <c r="H103" s="214"/>
      <c r="I103" s="8"/>
    </row>
    <row r="104" spans="1:9" x14ac:dyDescent="0.25">
      <c r="A104" s="215"/>
      <c r="B104" s="18" t="s">
        <v>93</v>
      </c>
      <c r="C104" s="18" t="s">
        <v>66</v>
      </c>
      <c r="D104" s="19" t="s">
        <v>77</v>
      </c>
      <c r="E104" s="25">
        <v>615</v>
      </c>
      <c r="F104" s="18">
        <v>1.7000000000000001E-2</v>
      </c>
      <c r="G104" s="18">
        <v>5.0000000000000001E-3</v>
      </c>
      <c r="H104" s="214"/>
      <c r="I104" s="8"/>
    </row>
    <row r="105" spans="1:9" x14ac:dyDescent="0.25">
      <c r="A105" s="215"/>
      <c r="B105" s="20" t="s">
        <v>94</v>
      </c>
      <c r="C105" s="20" t="s">
        <v>66</v>
      </c>
      <c r="D105" s="21" t="s">
        <v>70</v>
      </c>
      <c r="E105" s="26">
        <v>420</v>
      </c>
      <c r="F105" s="20">
        <v>2.5000000000000001E-2</v>
      </c>
      <c r="G105" s="20">
        <v>5.0000000000000001E-3</v>
      </c>
      <c r="H105" s="214"/>
      <c r="I105" s="8"/>
    </row>
    <row r="106" spans="1:9" x14ac:dyDescent="0.25">
      <c r="A106" s="215"/>
      <c r="B106" s="20" t="s">
        <v>95</v>
      </c>
      <c r="C106" s="21" t="s">
        <v>70</v>
      </c>
      <c r="D106" s="20" t="s">
        <v>66</v>
      </c>
      <c r="E106" s="26">
        <v>420</v>
      </c>
      <c r="F106" s="20">
        <v>2.5000000000000001E-2</v>
      </c>
      <c r="G106" s="20">
        <v>5.0000000000000001E-3</v>
      </c>
      <c r="H106" s="214"/>
      <c r="I106" s="8"/>
    </row>
    <row r="107" spans="1:9" x14ac:dyDescent="0.25">
      <c r="A107" s="215"/>
      <c r="B107" s="18" t="s">
        <v>96</v>
      </c>
      <c r="C107" s="19" t="s">
        <v>77</v>
      </c>
      <c r="D107" s="19" t="s">
        <v>59</v>
      </c>
      <c r="E107" s="25">
        <v>1800</v>
      </c>
      <c r="F107" s="18">
        <v>0.14000000000000001</v>
      </c>
      <c r="G107" s="18">
        <v>5.0000000000000001E-3</v>
      </c>
      <c r="H107" s="214"/>
    </row>
    <row r="108" spans="1:9" x14ac:dyDescent="0.25">
      <c r="A108" s="215"/>
      <c r="B108" s="18" t="s">
        <v>97</v>
      </c>
      <c r="C108" s="19" t="s">
        <v>59</v>
      </c>
      <c r="D108" s="19" t="s">
        <v>77</v>
      </c>
      <c r="E108" s="25">
        <v>1800</v>
      </c>
      <c r="F108" s="18">
        <v>0.14000000000000001</v>
      </c>
      <c r="G108" s="18">
        <v>5.0000000000000001E-3</v>
      </c>
      <c r="H108" s="214"/>
    </row>
    <row r="109" spans="1:9" x14ac:dyDescent="0.25">
      <c r="A109" s="215"/>
      <c r="B109" s="20" t="s">
        <v>98</v>
      </c>
      <c r="C109" s="21" t="s">
        <v>77</v>
      </c>
      <c r="D109" s="21" t="s">
        <v>68</v>
      </c>
      <c r="E109" s="26">
        <v>575</v>
      </c>
      <c r="F109" s="20">
        <v>0.05</v>
      </c>
      <c r="G109" s="20">
        <v>5.0000000000000001E-3</v>
      </c>
      <c r="H109" s="214"/>
    </row>
    <row r="110" spans="1:9" x14ac:dyDescent="0.25">
      <c r="A110" s="215"/>
      <c r="B110" s="20" t="s">
        <v>99</v>
      </c>
      <c r="C110" s="21" t="s">
        <v>68</v>
      </c>
      <c r="D110" s="21" t="s">
        <v>77</v>
      </c>
      <c r="E110" s="26">
        <v>575</v>
      </c>
      <c r="F110" s="20">
        <v>0.05</v>
      </c>
      <c r="G110" s="20">
        <v>5.0000000000000001E-3</v>
      </c>
      <c r="H110" s="214"/>
    </row>
    <row r="111" spans="1:9" x14ac:dyDescent="0.25">
      <c r="A111" s="215"/>
      <c r="B111" s="18" t="s">
        <v>100</v>
      </c>
      <c r="C111" s="19" t="s">
        <v>86</v>
      </c>
      <c r="D111" s="19" t="s">
        <v>70</v>
      </c>
      <c r="E111" s="25">
        <v>428</v>
      </c>
      <c r="F111" s="18">
        <v>0.01</v>
      </c>
      <c r="G111" s="18">
        <v>5.0000000000000001E-3</v>
      </c>
      <c r="H111" s="214"/>
    </row>
    <row r="112" spans="1:9" x14ac:dyDescent="0.25">
      <c r="A112" s="215"/>
      <c r="B112" s="18" t="s">
        <v>101</v>
      </c>
      <c r="C112" s="19" t="s">
        <v>70</v>
      </c>
      <c r="D112" s="19" t="s">
        <v>86</v>
      </c>
      <c r="E112" s="25">
        <v>428</v>
      </c>
      <c r="F112" s="18">
        <v>0.01</v>
      </c>
      <c r="G112" s="18">
        <v>5.0000000000000001E-3</v>
      </c>
      <c r="H112" s="214"/>
    </row>
    <row r="113" spans="1:8" x14ac:dyDescent="0.25">
      <c r="A113" s="215"/>
      <c r="B113" s="20" t="s">
        <v>102</v>
      </c>
      <c r="C113" s="21" t="s">
        <v>70</v>
      </c>
      <c r="D113" s="21" t="s">
        <v>59</v>
      </c>
      <c r="E113" s="26">
        <v>258</v>
      </c>
      <c r="F113" s="20">
        <v>0.03</v>
      </c>
      <c r="G113" s="20">
        <v>5.0000000000000001E-3</v>
      </c>
      <c r="H113" s="214"/>
    </row>
    <row r="114" spans="1:8" x14ac:dyDescent="0.25">
      <c r="A114" s="215"/>
      <c r="B114" s="20" t="s">
        <v>103</v>
      </c>
      <c r="C114" s="21" t="s">
        <v>59</v>
      </c>
      <c r="D114" s="21" t="s">
        <v>70</v>
      </c>
      <c r="E114" s="26">
        <v>258</v>
      </c>
      <c r="F114" s="20">
        <v>0.03</v>
      </c>
      <c r="G114" s="20">
        <v>5.0000000000000001E-3</v>
      </c>
      <c r="H114" s="214"/>
    </row>
    <row r="115" spans="1:8" x14ac:dyDescent="0.25">
      <c r="A115" s="215"/>
      <c r="B115" s="18" t="s">
        <v>153</v>
      </c>
      <c r="C115" s="19" t="s">
        <v>86</v>
      </c>
      <c r="D115" s="19" t="str">
        <f>C116</f>
        <v>PmNamibia</v>
      </c>
      <c r="E115" s="25">
        <v>360</v>
      </c>
      <c r="F115" s="18">
        <v>0.05</v>
      </c>
      <c r="G115" s="18">
        <v>5.0000000000000001E-3</v>
      </c>
      <c r="H115" s="214"/>
    </row>
    <row r="116" spans="1:8" x14ac:dyDescent="0.25">
      <c r="A116" s="215"/>
      <c r="B116" s="18" t="s">
        <v>154</v>
      </c>
      <c r="C116" s="18" t="s">
        <v>68</v>
      </c>
      <c r="D116" s="18" t="str">
        <f>C115</f>
        <v>PmZambia</v>
      </c>
      <c r="E116" s="25">
        <v>360</v>
      </c>
      <c r="F116" s="18">
        <v>0.05</v>
      </c>
      <c r="G116" s="18">
        <v>5.0000000000000001E-3</v>
      </c>
      <c r="H116" s="214"/>
    </row>
    <row r="117" spans="1:8" x14ac:dyDescent="0.25">
      <c r="A117" s="215"/>
      <c r="B117" s="8" t="s">
        <v>431</v>
      </c>
      <c r="C117" s="23" t="s">
        <v>59</v>
      </c>
      <c r="D117" s="23" t="s">
        <v>67</v>
      </c>
      <c r="E117" s="25">
        <v>0</v>
      </c>
      <c r="F117" s="8">
        <v>0.05</v>
      </c>
      <c r="G117" s="8">
        <v>5.0000000000000001E-3</v>
      </c>
      <c r="H117" s="214"/>
    </row>
    <row r="118" spans="1:8" x14ac:dyDescent="0.25">
      <c r="A118" s="215"/>
      <c r="B118" s="8" t="s">
        <v>432</v>
      </c>
      <c r="C118" s="23" t="s">
        <v>67</v>
      </c>
      <c r="D118" s="23" t="s">
        <v>59</v>
      </c>
      <c r="E118" s="25">
        <v>0</v>
      </c>
      <c r="F118" s="8">
        <v>0.05</v>
      </c>
      <c r="G118" s="8">
        <v>5.0000000000000001E-3</v>
      </c>
      <c r="H118" s="214"/>
    </row>
    <row r="119" spans="1:8" x14ac:dyDescent="0.25">
      <c r="A119" s="215"/>
      <c r="B119" s="8" t="s">
        <v>433</v>
      </c>
      <c r="C119" s="23" t="s">
        <v>69</v>
      </c>
      <c r="D119" s="23" t="s">
        <v>86</v>
      </c>
      <c r="E119" s="25">
        <v>0</v>
      </c>
      <c r="F119" s="8">
        <v>0.06</v>
      </c>
      <c r="G119" s="8">
        <v>5.0000000000000001E-3</v>
      </c>
      <c r="H119" s="214"/>
    </row>
    <row r="120" spans="1:8" x14ac:dyDescent="0.25">
      <c r="A120" s="215"/>
      <c r="B120" s="8" t="s">
        <v>434</v>
      </c>
      <c r="C120" s="23" t="s">
        <v>86</v>
      </c>
      <c r="D120" s="23" t="s">
        <v>69</v>
      </c>
      <c r="E120" s="25">
        <v>0</v>
      </c>
      <c r="F120" s="8">
        <v>0.06</v>
      </c>
      <c r="G120" s="8">
        <v>5.0000000000000001E-3</v>
      </c>
      <c r="H120" s="214"/>
    </row>
    <row r="121" spans="1:8" x14ac:dyDescent="0.25">
      <c r="A121" s="215"/>
      <c r="B121" s="8" t="s">
        <v>435</v>
      </c>
      <c r="C121" s="23" t="s">
        <v>68</v>
      </c>
      <c r="D121" s="23" t="s">
        <v>65</v>
      </c>
      <c r="E121" s="25">
        <v>0</v>
      </c>
      <c r="F121" s="8">
        <v>0.05</v>
      </c>
      <c r="G121" s="8">
        <v>5.0000000000000001E-3</v>
      </c>
      <c r="H121" s="214"/>
    </row>
    <row r="122" spans="1:8" x14ac:dyDescent="0.25">
      <c r="A122" s="215"/>
      <c r="B122" s="8" t="s">
        <v>436</v>
      </c>
      <c r="C122" s="23" t="s">
        <v>65</v>
      </c>
      <c r="D122" s="23" t="s">
        <v>68</v>
      </c>
      <c r="E122" s="25">
        <v>0</v>
      </c>
      <c r="F122" s="8">
        <v>0.05</v>
      </c>
      <c r="G122" s="8">
        <v>5.0000000000000001E-3</v>
      </c>
      <c r="H122" s="214"/>
    </row>
    <row r="123" spans="1:8" x14ac:dyDescent="0.25">
      <c r="A123" s="215"/>
      <c r="B123" s="8" t="s">
        <v>459</v>
      </c>
      <c r="C123" s="23" t="s">
        <v>86</v>
      </c>
      <c r="D123" s="23" t="s">
        <v>70</v>
      </c>
      <c r="E123" s="25">
        <v>0</v>
      </c>
      <c r="F123" s="8">
        <v>0.06</v>
      </c>
      <c r="G123" s="8">
        <v>5.0000000000000001E-3</v>
      </c>
      <c r="H123" s="214"/>
    </row>
    <row r="124" spans="1:8" x14ac:dyDescent="0.25">
      <c r="A124" s="215"/>
      <c r="B124" s="8" t="s">
        <v>460</v>
      </c>
      <c r="C124" s="23" t="s">
        <v>70</v>
      </c>
      <c r="D124" s="23" t="s">
        <v>86</v>
      </c>
      <c r="E124" s="25">
        <v>0</v>
      </c>
      <c r="F124" s="8">
        <v>0.06</v>
      </c>
      <c r="G124" s="8">
        <v>5.0000000000000001E-3</v>
      </c>
      <c r="H124" s="214"/>
    </row>
    <row r="125" spans="1:8" x14ac:dyDescent="0.25">
      <c r="A125" s="215"/>
      <c r="B125" s="8" t="s">
        <v>467</v>
      </c>
      <c r="C125" s="23" t="s">
        <v>68</v>
      </c>
      <c r="D125" s="23" t="s">
        <v>77</v>
      </c>
      <c r="E125" s="25">
        <v>0</v>
      </c>
      <c r="F125" s="8">
        <v>0.06</v>
      </c>
      <c r="G125" s="8">
        <v>5.0000000000000001E-3</v>
      </c>
      <c r="H125" s="214"/>
    </row>
    <row r="126" spans="1:8" ht="10.5" customHeight="1" x14ac:dyDescent="0.25">
      <c r="A126" s="215"/>
      <c r="B126" s="8" t="s">
        <v>468</v>
      </c>
      <c r="C126" s="23" t="s">
        <v>77</v>
      </c>
      <c r="D126" s="23" t="s">
        <v>68</v>
      </c>
      <c r="E126" s="25">
        <v>0</v>
      </c>
      <c r="F126" s="8">
        <v>0.06</v>
      </c>
      <c r="G126" s="8">
        <v>5.0000000000000001E-3</v>
      </c>
      <c r="H126" s="214"/>
    </row>
    <row r="127" spans="1:8" ht="10.5" customHeight="1" x14ac:dyDescent="0.25">
      <c r="A127" s="215"/>
      <c r="B127" t="s">
        <v>461</v>
      </c>
      <c r="C127" t="s">
        <v>65</v>
      </c>
      <c r="D127" t="s">
        <v>66</v>
      </c>
      <c r="E127" s="25">
        <v>0</v>
      </c>
      <c r="F127">
        <v>0.24</v>
      </c>
      <c r="G127">
        <v>5.0000000000000001E-3</v>
      </c>
      <c r="H127" s="214"/>
    </row>
    <row r="128" spans="1:8" ht="10.5" customHeight="1" x14ac:dyDescent="0.25">
      <c r="A128" s="215"/>
      <c r="B128" t="s">
        <v>462</v>
      </c>
      <c r="C128" t="s">
        <v>66</v>
      </c>
      <c r="D128" t="s">
        <v>65</v>
      </c>
      <c r="E128" s="25">
        <v>0</v>
      </c>
      <c r="F128">
        <v>0.24</v>
      </c>
      <c r="G128">
        <v>5.0000000000000001E-3</v>
      </c>
      <c r="H128" s="214"/>
    </row>
    <row r="129" spans="1:8" ht="10.5" customHeight="1" x14ac:dyDescent="0.25">
      <c r="A129" s="215"/>
      <c r="B129" s="8" t="s">
        <v>463</v>
      </c>
      <c r="C129" s="23" t="s">
        <v>59</v>
      </c>
      <c r="D129" s="23" t="s">
        <v>70</v>
      </c>
      <c r="E129" s="25">
        <v>0</v>
      </c>
      <c r="F129" s="8">
        <v>0.03</v>
      </c>
      <c r="G129" s="8">
        <v>5.0000000000000001E-3</v>
      </c>
      <c r="H129" s="214"/>
    </row>
    <row r="130" spans="1:8" ht="10.5" customHeight="1" x14ac:dyDescent="0.25">
      <c r="A130" s="215"/>
      <c r="B130" s="8" t="s">
        <v>464</v>
      </c>
      <c r="C130" s="23" t="s">
        <v>70</v>
      </c>
      <c r="D130" s="23" t="s">
        <v>59</v>
      </c>
      <c r="E130" s="25">
        <v>0</v>
      </c>
      <c r="F130" s="8">
        <v>0.03</v>
      </c>
      <c r="G130" s="8">
        <v>5.0000000000000001E-3</v>
      </c>
      <c r="H130" s="214"/>
    </row>
    <row r="131" spans="1:8" ht="10.5" customHeight="1" x14ac:dyDescent="0.25">
      <c r="A131" s="215"/>
      <c r="B131" s="8" t="s">
        <v>470</v>
      </c>
      <c r="C131" s="23" t="s">
        <v>59</v>
      </c>
      <c r="D131" s="23" t="s">
        <v>77</v>
      </c>
      <c r="E131" s="25">
        <v>0</v>
      </c>
      <c r="F131" s="8">
        <v>0.05</v>
      </c>
      <c r="G131" s="8">
        <v>5.0000000000000001E-3</v>
      </c>
      <c r="H131" s="214"/>
    </row>
    <row r="132" spans="1:8" ht="10.5" customHeight="1" x14ac:dyDescent="0.25">
      <c r="A132" s="215"/>
      <c r="B132" s="8" t="s">
        <v>465</v>
      </c>
      <c r="C132" s="23" t="s">
        <v>77</v>
      </c>
      <c r="D132" s="23" t="s">
        <v>59</v>
      </c>
      <c r="E132" s="25">
        <v>0</v>
      </c>
      <c r="F132" s="8">
        <v>0.05</v>
      </c>
      <c r="G132" s="8">
        <v>5.0000000000000001E-3</v>
      </c>
      <c r="H132" s="214"/>
    </row>
    <row r="133" spans="1:8" x14ac:dyDescent="0.25">
      <c r="A133" s="215"/>
      <c r="B133" s="8" t="s">
        <v>466</v>
      </c>
      <c r="C133" s="23" t="s">
        <v>77</v>
      </c>
      <c r="D133" s="8" t="s">
        <v>70</v>
      </c>
      <c r="E133" s="25">
        <v>0</v>
      </c>
      <c r="F133" s="8">
        <v>0.06</v>
      </c>
      <c r="G133" s="8">
        <v>5.0000000000000001E-3</v>
      </c>
      <c r="H133" s="214"/>
    </row>
    <row r="134" spans="1:8" x14ac:dyDescent="0.25">
      <c r="A134" s="215"/>
      <c r="B134" s="59" t="s">
        <v>469</v>
      </c>
      <c r="C134" s="59" t="s">
        <v>70</v>
      </c>
      <c r="D134" s="59" t="s">
        <v>77</v>
      </c>
      <c r="E134" s="59">
        <v>0</v>
      </c>
      <c r="F134" s="59">
        <v>0.06</v>
      </c>
      <c r="G134" s="59">
        <v>5.0000000000000001E-3</v>
      </c>
      <c r="H134" s="214"/>
    </row>
    <row r="137" spans="1:8" x14ac:dyDescent="0.25">
      <c r="B137" s="8"/>
      <c r="C137" s="23"/>
      <c r="D137" s="23"/>
      <c r="E137" s="16"/>
      <c r="F137" s="8"/>
      <c r="G137" s="8"/>
      <c r="H137" s="23"/>
    </row>
    <row r="138" spans="1:8" x14ac:dyDescent="0.25">
      <c r="B138" s="8"/>
      <c r="C138" s="23"/>
      <c r="D138" s="23"/>
      <c r="E138" s="16"/>
      <c r="F138" s="8"/>
      <c r="G138" s="8"/>
      <c r="H138" s="23"/>
    </row>
    <row r="139" spans="1:8" x14ac:dyDescent="0.25">
      <c r="B139" s="23"/>
      <c r="C139" s="23"/>
      <c r="D139" s="23"/>
      <c r="E139" s="23"/>
      <c r="F139" s="23"/>
      <c r="G139" s="23"/>
      <c r="H139" s="23"/>
    </row>
    <row r="140" spans="1:8" x14ac:dyDescent="0.25">
      <c r="B140" s="23"/>
      <c r="C140" s="23"/>
      <c r="D140" s="23"/>
      <c r="E140" s="23"/>
      <c r="F140" s="23"/>
      <c r="G140" s="23"/>
      <c r="H140" s="23"/>
    </row>
  </sheetData>
  <hyperlinks>
    <hyperlink ref="B6" r:id="rId1" xr:uid="{00000000-0004-0000-0B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0"/>
  <sheetViews>
    <sheetView showGridLines="0" topLeftCell="A10" workbookViewId="0">
      <selection activeCell="G22" sqref="G22"/>
    </sheetView>
  </sheetViews>
  <sheetFormatPr defaultRowHeight="11.5" x14ac:dyDescent="0.25"/>
  <cols>
    <col min="1" max="1" width="11.90625" customWidth="1"/>
    <col min="2" max="2" width="12.26953125" customWidth="1"/>
    <col min="3" max="3" width="16.6328125" customWidth="1"/>
    <col min="4" max="4" width="15.6328125" customWidth="1"/>
    <col min="5" max="7" width="12.08984375" customWidth="1"/>
  </cols>
  <sheetData>
    <row r="1" spans="1:8" ht="19.5" x14ac:dyDescent="0.35">
      <c r="A1" s="6" t="s">
        <v>416</v>
      </c>
    </row>
    <row r="2" spans="1:8" x14ac:dyDescent="0.25">
      <c r="A2" s="5" t="s">
        <v>417</v>
      </c>
      <c r="D2" s="1"/>
      <c r="E2" s="1"/>
      <c r="F2" s="1"/>
      <c r="G2" s="1"/>
      <c r="H2" s="1"/>
    </row>
    <row r="3" spans="1:8" x14ac:dyDescent="0.25">
      <c r="A3" s="5"/>
      <c r="B3" s="23"/>
    </row>
    <row r="4" spans="1:8" x14ac:dyDescent="0.25">
      <c r="A4" s="32" t="s">
        <v>128</v>
      </c>
      <c r="B4" s="196"/>
      <c r="C4" s="98"/>
      <c r="D4" s="224"/>
      <c r="E4" s="224"/>
      <c r="F4" s="224"/>
      <c r="G4" s="11"/>
    </row>
    <row r="5" spans="1:8" x14ac:dyDescent="0.25">
      <c r="A5" t="s">
        <v>497</v>
      </c>
      <c r="B5" s="212"/>
      <c r="C5" s="224"/>
      <c r="D5" s="224"/>
      <c r="E5" s="224"/>
      <c r="F5" s="224"/>
      <c r="G5" s="11"/>
    </row>
    <row r="6" spans="1:8" x14ac:dyDescent="0.25">
      <c r="A6" s="237" t="s">
        <v>506</v>
      </c>
      <c r="B6" t="s">
        <v>493</v>
      </c>
      <c r="C6" t="s">
        <v>494</v>
      </c>
      <c r="D6" s="11" t="s">
        <v>495</v>
      </c>
      <c r="E6" s="11" t="s">
        <v>496</v>
      </c>
      <c r="G6" s="11"/>
    </row>
    <row r="7" spans="1:8" x14ac:dyDescent="0.25">
      <c r="A7" s="1" t="s">
        <v>481</v>
      </c>
      <c r="B7">
        <v>12</v>
      </c>
      <c r="C7">
        <v>33</v>
      </c>
      <c r="D7">
        <f>B7*C7</f>
        <v>396</v>
      </c>
      <c r="E7" s="236">
        <f>D7/(+$D$8+$D$9+$D$7)</f>
        <v>0.53012048192771088</v>
      </c>
    </row>
    <row r="8" spans="1:8" x14ac:dyDescent="0.25">
      <c r="A8" s="1" t="s">
        <v>492</v>
      </c>
      <c r="B8">
        <v>3</v>
      </c>
      <c r="C8">
        <v>36</v>
      </c>
      <c r="D8">
        <f t="shared" ref="D8:D9" si="0">B8*C8</f>
        <v>108</v>
      </c>
      <c r="E8" s="236">
        <f>D8/(+$D$8+$D$9+$D$7)</f>
        <v>0.14457831325301204</v>
      </c>
    </row>
    <row r="9" spans="1:8" x14ac:dyDescent="0.25">
      <c r="A9" s="1" t="s">
        <v>482</v>
      </c>
      <c r="B9">
        <v>9</v>
      </c>
      <c r="C9">
        <v>27</v>
      </c>
      <c r="D9">
        <f t="shared" si="0"/>
        <v>243</v>
      </c>
      <c r="E9" s="236">
        <f>D9/(+$D$8+$D$9+$D$7)</f>
        <v>0.3253012048192771</v>
      </c>
    </row>
    <row r="10" spans="1:8" x14ac:dyDescent="0.25">
      <c r="A10" s="56"/>
      <c r="B10" s="11"/>
      <c r="C10" s="1"/>
    </row>
    <row r="11" spans="1:8" x14ac:dyDescent="0.25">
      <c r="A11" s="238" t="s">
        <v>500</v>
      </c>
      <c r="B11" t="s">
        <v>504</v>
      </c>
      <c r="C11" s="11" t="s">
        <v>498</v>
      </c>
      <c r="D11" s="1" t="s">
        <v>499</v>
      </c>
      <c r="E11" s="8" t="s">
        <v>505</v>
      </c>
      <c r="F11" s="1" t="s">
        <v>501</v>
      </c>
      <c r="G11" s="8" t="s">
        <v>502</v>
      </c>
    </row>
    <row r="12" spans="1:8" x14ac:dyDescent="0.25">
      <c r="A12" s="1" t="s">
        <v>481</v>
      </c>
      <c r="B12" s="241">
        <v>0.45</v>
      </c>
      <c r="C12" s="239">
        <v>0.65</v>
      </c>
      <c r="D12" s="240">
        <v>0.25</v>
      </c>
      <c r="E12" s="236">
        <v>0.3</v>
      </c>
      <c r="F12" s="242">
        <v>0.4</v>
      </c>
      <c r="G12" s="241">
        <v>0.2</v>
      </c>
    </row>
    <row r="13" spans="1:8" x14ac:dyDescent="0.25">
      <c r="A13" s="1" t="s">
        <v>492</v>
      </c>
      <c r="B13" s="224">
        <v>0</v>
      </c>
      <c r="C13" s="11">
        <v>0</v>
      </c>
      <c r="D13" s="224">
        <v>0</v>
      </c>
      <c r="E13" s="239">
        <v>0.45</v>
      </c>
      <c r="F13" s="243">
        <v>0.6</v>
      </c>
      <c r="G13" s="241">
        <v>0.3</v>
      </c>
    </row>
    <row r="14" spans="1:8" x14ac:dyDescent="0.25">
      <c r="A14" s="1" t="s">
        <v>482</v>
      </c>
      <c r="B14" s="224">
        <v>0</v>
      </c>
      <c r="C14" s="224">
        <v>0</v>
      </c>
      <c r="D14" s="224">
        <v>0</v>
      </c>
      <c r="E14" s="239">
        <v>0.375</v>
      </c>
      <c r="F14" s="244">
        <v>0.25</v>
      </c>
      <c r="G14" s="241">
        <v>0.5</v>
      </c>
    </row>
    <row r="15" spans="1:8" x14ac:dyDescent="0.25">
      <c r="A15" s="36" t="s">
        <v>503</v>
      </c>
      <c r="B15" s="239">
        <f>(12*B12+3*B13+9*B14)/24</f>
        <v>0.22500000000000001</v>
      </c>
      <c r="C15" s="224"/>
      <c r="D15" s="224"/>
      <c r="E15" s="239">
        <f>(12*E12+3*E13+9*E14)/24</f>
        <v>0.34687499999999999</v>
      </c>
      <c r="F15" s="224"/>
      <c r="G15" s="11"/>
    </row>
    <row r="16" spans="1:8" x14ac:dyDescent="0.25">
      <c r="A16" s="189"/>
      <c r="B16" s="11"/>
      <c r="C16" s="224"/>
      <c r="D16" s="224"/>
      <c r="E16" s="224"/>
      <c r="F16" s="224"/>
      <c r="G16" s="11"/>
    </row>
    <row r="17" spans="1:8" x14ac:dyDescent="0.25">
      <c r="A17" s="56"/>
      <c r="B17" s="11"/>
      <c r="C17" s="224"/>
      <c r="D17" s="224"/>
      <c r="E17" s="224"/>
      <c r="F17" s="224"/>
      <c r="G17" s="11"/>
    </row>
    <row r="18" spans="1:8" x14ac:dyDescent="0.25">
      <c r="A18" s="37"/>
      <c r="B18" s="156"/>
      <c r="C18" s="224"/>
      <c r="D18" s="224"/>
      <c r="E18" s="224"/>
      <c r="F18" s="224"/>
      <c r="G18" s="11"/>
    </row>
    <row r="19" spans="1:8" x14ac:dyDescent="0.25">
      <c r="B19" s="5"/>
      <c r="C19" s="23"/>
    </row>
    <row r="20" spans="1:8" ht="23" x14ac:dyDescent="0.25">
      <c r="B20" s="9" t="s">
        <v>418</v>
      </c>
      <c r="C20" s="9" t="s">
        <v>415</v>
      </c>
      <c r="D20" s="9" t="s">
        <v>419</v>
      </c>
    </row>
    <row r="21" spans="1:8" x14ac:dyDescent="0.25">
      <c r="B21" s="3" t="s">
        <v>420</v>
      </c>
      <c r="C21" s="2" t="s">
        <v>344</v>
      </c>
      <c r="D21" s="2" t="s">
        <v>344</v>
      </c>
      <c r="E21" s="2"/>
      <c r="F21" s="2"/>
      <c r="G21" s="2"/>
      <c r="H21" s="2"/>
    </row>
    <row r="22" spans="1:8" x14ac:dyDescent="0.25">
      <c r="A22" s="234" t="s">
        <v>478</v>
      </c>
      <c r="B22" s="7" t="s">
        <v>106</v>
      </c>
      <c r="C22" s="8" t="s">
        <v>310</v>
      </c>
      <c r="D22" s="1" t="s">
        <v>200</v>
      </c>
      <c r="E22" s="1"/>
      <c r="F22" s="1"/>
      <c r="G22" s="1"/>
      <c r="H22" s="1"/>
    </row>
    <row r="23" spans="1:8" x14ac:dyDescent="0.25">
      <c r="A23" t="s">
        <v>158</v>
      </c>
      <c r="B23" s="1" t="s">
        <v>481</v>
      </c>
      <c r="C23" s="250">
        <f>E7</f>
        <v>0.53012048192771088</v>
      </c>
      <c r="D23" s="250">
        <f>B7/24</f>
        <v>0.5</v>
      </c>
      <c r="E23" s="96"/>
      <c r="F23" s="96"/>
      <c r="G23" s="1"/>
      <c r="H23" s="1"/>
    </row>
    <row r="24" spans="1:8" x14ac:dyDescent="0.25">
      <c r="B24" t="s">
        <v>232</v>
      </c>
      <c r="C24" s="250">
        <f t="shared" ref="C24:C25" si="1">E8</f>
        <v>0.14457831325301204</v>
      </c>
      <c r="D24" s="250">
        <f t="shared" ref="D24:D25" si="2">B8/24</f>
        <v>0.125</v>
      </c>
      <c r="E24" s="96"/>
      <c r="F24" s="96"/>
      <c r="G24" s="1"/>
      <c r="H24" s="1"/>
    </row>
    <row r="25" spans="1:8" x14ac:dyDescent="0.25">
      <c r="B25" t="s">
        <v>482</v>
      </c>
      <c r="C25" s="250">
        <f t="shared" si="1"/>
        <v>0.3253012048192771</v>
      </c>
      <c r="D25" s="250">
        <f t="shared" si="2"/>
        <v>0.375</v>
      </c>
      <c r="E25" s="96"/>
      <c r="F25" s="96"/>
    </row>
    <row r="26" spans="1:8" x14ac:dyDescent="0.25">
      <c r="A26" t="s">
        <v>479</v>
      </c>
      <c r="B26" t="s">
        <v>480</v>
      </c>
      <c r="C26">
        <v>1</v>
      </c>
      <c r="D26">
        <v>1</v>
      </c>
      <c r="E26" s="96"/>
      <c r="F26" s="96"/>
    </row>
    <row r="27" spans="1:8" x14ac:dyDescent="0.25">
      <c r="A27" t="s">
        <v>491</v>
      </c>
      <c r="B27" t="s">
        <v>485</v>
      </c>
      <c r="C27" s="235">
        <f>$E$7/4</f>
        <v>0.13253012048192772</v>
      </c>
      <c r="D27" s="235">
        <f>$B$7/24/4</f>
        <v>0.125</v>
      </c>
      <c r="E27" s="96"/>
      <c r="F27" s="96"/>
    </row>
    <row r="28" spans="1:8" x14ac:dyDescent="0.25">
      <c r="B28" t="s">
        <v>486</v>
      </c>
      <c r="C28" s="235">
        <f t="shared" ref="C28:C30" si="3">$E$7/4</f>
        <v>0.13253012048192772</v>
      </c>
      <c r="D28" s="235">
        <f t="shared" ref="D28:D30" si="4">$B$7/24/4</f>
        <v>0.125</v>
      </c>
      <c r="E28" s="96"/>
      <c r="F28" s="96"/>
    </row>
    <row r="29" spans="1:8" x14ac:dyDescent="0.25">
      <c r="B29" t="s">
        <v>487</v>
      </c>
      <c r="C29" s="235">
        <f t="shared" si="3"/>
        <v>0.13253012048192772</v>
      </c>
      <c r="D29" s="235">
        <f t="shared" si="4"/>
        <v>0.125</v>
      </c>
      <c r="E29" s="96"/>
      <c r="F29" s="96"/>
    </row>
    <row r="30" spans="1:8" x14ac:dyDescent="0.25">
      <c r="B30" t="s">
        <v>488</v>
      </c>
      <c r="C30" s="235">
        <f t="shared" si="3"/>
        <v>0.13253012048192772</v>
      </c>
      <c r="D30" s="235">
        <f t="shared" si="4"/>
        <v>0.125</v>
      </c>
      <c r="E30" s="96"/>
      <c r="F30" s="96"/>
    </row>
    <row r="31" spans="1:8" x14ac:dyDescent="0.25">
      <c r="B31" t="s">
        <v>490</v>
      </c>
      <c r="C31" s="235">
        <f>$E$8/2</f>
        <v>7.2289156626506021E-2</v>
      </c>
      <c r="D31" s="235">
        <f>$B$8/24/2</f>
        <v>6.25E-2</v>
      </c>
      <c r="E31" s="96"/>
      <c r="F31" s="96"/>
    </row>
    <row r="32" spans="1:8" x14ac:dyDescent="0.25">
      <c r="B32" t="s">
        <v>489</v>
      </c>
      <c r="C32" s="235">
        <f>$E$8/2</f>
        <v>7.2289156626506021E-2</v>
      </c>
      <c r="D32" s="235">
        <f>$B$8/24/2</f>
        <v>6.25E-2</v>
      </c>
      <c r="E32" s="96"/>
      <c r="F32" s="96"/>
    </row>
    <row r="33" spans="1:6" x14ac:dyDescent="0.25">
      <c r="B33" t="s">
        <v>483</v>
      </c>
      <c r="C33" s="235">
        <f>$E$9/2</f>
        <v>0.16265060240963855</v>
      </c>
      <c r="D33" s="235">
        <f>$B$9/24/2</f>
        <v>0.1875</v>
      </c>
      <c r="E33" s="96"/>
      <c r="F33" s="96"/>
    </row>
    <row r="34" spans="1:6" x14ac:dyDescent="0.25">
      <c r="B34" t="s">
        <v>484</v>
      </c>
      <c r="C34" s="235">
        <f>$E$9/2</f>
        <v>0.16265060240963855</v>
      </c>
      <c r="D34" s="235">
        <f>$B$9/24/2</f>
        <v>0.1875</v>
      </c>
      <c r="E34" s="96"/>
      <c r="F34" s="96"/>
    </row>
    <row r="35" spans="1:6" x14ac:dyDescent="0.25">
      <c r="A35" t="s">
        <v>516</v>
      </c>
      <c r="B35" s="1" t="s">
        <v>481</v>
      </c>
      <c r="C35" s="250">
        <v>0.53012048192771088</v>
      </c>
      <c r="D35" s="250">
        <v>0.5</v>
      </c>
    </row>
    <row r="36" spans="1:6" x14ac:dyDescent="0.25">
      <c r="B36" t="s">
        <v>232</v>
      </c>
      <c r="C36" s="250">
        <v>0.14457831325301204</v>
      </c>
      <c r="D36" s="250">
        <v>0.125</v>
      </c>
    </row>
    <row r="37" spans="1:6" x14ac:dyDescent="0.25">
      <c r="B37" t="s">
        <v>482</v>
      </c>
      <c r="C37" s="250">
        <v>0.3253012048192771</v>
      </c>
      <c r="D37" s="250">
        <v>0.375</v>
      </c>
    </row>
    <row r="38" spans="1:6" x14ac:dyDescent="0.25">
      <c r="A38" t="s">
        <v>517</v>
      </c>
      <c r="B38" s="1" t="s">
        <v>481</v>
      </c>
      <c r="C38" s="250">
        <v>0.53012048192771088</v>
      </c>
      <c r="D38" s="250">
        <v>0.5</v>
      </c>
    </row>
    <row r="39" spans="1:6" x14ac:dyDescent="0.25">
      <c r="B39" t="s">
        <v>232</v>
      </c>
      <c r="C39" s="250">
        <v>0.14457831325301204</v>
      </c>
      <c r="D39" s="250">
        <v>0.125</v>
      </c>
    </row>
    <row r="40" spans="1:6" x14ac:dyDescent="0.25">
      <c r="B40" t="s">
        <v>482</v>
      </c>
      <c r="C40" s="250">
        <v>0.3253012048192771</v>
      </c>
      <c r="D40" s="250">
        <v>0.375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12"/>
  <sheetViews>
    <sheetView showGridLines="0" workbookViewId="0">
      <selection activeCell="E24" sqref="E24"/>
    </sheetView>
  </sheetViews>
  <sheetFormatPr defaultRowHeight="11.5" x14ac:dyDescent="0.25"/>
  <cols>
    <col min="1" max="1" width="14.26953125" customWidth="1"/>
    <col min="2" max="3" width="12.08984375" customWidth="1"/>
  </cols>
  <sheetData>
    <row r="1" spans="1:17" ht="19.5" x14ac:dyDescent="0.35">
      <c r="A1" s="6" t="s">
        <v>286</v>
      </c>
    </row>
    <row r="2" spans="1:17" x14ac:dyDescent="0.25">
      <c r="A2" s="5" t="s">
        <v>380</v>
      </c>
      <c r="E2" s="23"/>
      <c r="F2" s="23"/>
      <c r="G2" s="23"/>
      <c r="H2" s="23"/>
      <c r="I2" s="23"/>
      <c r="J2" s="23"/>
      <c r="K2" s="8"/>
      <c r="L2" s="23"/>
      <c r="N2" s="23"/>
      <c r="O2" s="23"/>
    </row>
    <row r="3" spans="1:17" x14ac:dyDescent="0.25">
      <c r="A3" s="5"/>
      <c r="E3" s="23"/>
      <c r="F3" s="8"/>
      <c r="G3" s="8"/>
      <c r="H3" s="8"/>
      <c r="I3" s="8"/>
      <c r="J3" s="8"/>
      <c r="K3" s="8"/>
      <c r="L3" s="8"/>
      <c r="N3" s="8"/>
      <c r="O3" s="16"/>
      <c r="P3" s="8"/>
      <c r="Q3" s="8"/>
    </row>
    <row r="4" spans="1:17" x14ac:dyDescent="0.25">
      <c r="A4" s="63" t="s">
        <v>128</v>
      </c>
      <c r="B4" s="187"/>
      <c r="C4" s="187"/>
      <c r="D4" s="187"/>
      <c r="E4" s="187"/>
      <c r="F4" s="187"/>
      <c r="G4" s="192"/>
      <c r="H4" s="192"/>
      <c r="I4" s="187"/>
      <c r="J4" s="8"/>
      <c r="K4" s="8"/>
      <c r="L4" s="8"/>
      <c r="N4" s="113"/>
      <c r="O4" s="8"/>
      <c r="P4" s="8"/>
      <c r="Q4" s="8"/>
    </row>
    <row r="5" spans="1:17" x14ac:dyDescent="0.25">
      <c r="A5" s="6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N5" s="8"/>
      <c r="O5" s="8"/>
      <c r="P5" s="8"/>
      <c r="Q5" s="8"/>
    </row>
    <row r="6" spans="1:17" x14ac:dyDescent="0.25">
      <c r="A6" s="56" t="s">
        <v>381</v>
      </c>
      <c r="B6" s="8"/>
      <c r="C6" s="8"/>
      <c r="D6" s="8"/>
      <c r="E6" s="8"/>
      <c r="F6" s="8"/>
      <c r="G6" s="88"/>
      <c r="H6" s="114"/>
      <c r="I6" s="88"/>
      <c r="J6" s="8"/>
      <c r="K6" s="8"/>
      <c r="L6" s="8"/>
      <c r="N6" s="97"/>
      <c r="O6" s="97"/>
      <c r="P6" s="97"/>
      <c r="Q6" s="97"/>
    </row>
    <row r="7" spans="1:17" x14ac:dyDescent="0.25">
      <c r="A7" s="56" t="s">
        <v>508</v>
      </c>
      <c r="B7" s="8"/>
      <c r="C7" s="8"/>
      <c r="D7" s="8"/>
      <c r="E7" s="8"/>
      <c r="F7" s="8"/>
      <c r="G7" s="88"/>
      <c r="H7" s="115"/>
      <c r="I7" s="88"/>
      <c r="J7" s="8"/>
      <c r="K7" s="8"/>
      <c r="L7" s="8"/>
      <c r="N7" s="97"/>
      <c r="O7" s="97"/>
      <c r="P7" s="97"/>
      <c r="Q7" s="97"/>
    </row>
    <row r="8" spans="1:17" x14ac:dyDescent="0.25">
      <c r="A8" s="56"/>
      <c r="B8" s="188"/>
      <c r="C8" s="188" t="s">
        <v>309</v>
      </c>
      <c r="D8" s="8"/>
      <c r="E8" s="8"/>
      <c r="F8" s="8" t="s">
        <v>525</v>
      </c>
      <c r="G8" s="8"/>
      <c r="H8" s="8"/>
      <c r="I8" s="88"/>
      <c r="J8" s="8"/>
      <c r="K8" s="8"/>
      <c r="L8" s="8"/>
      <c r="N8" s="8"/>
      <c r="O8" s="8"/>
      <c r="P8" s="8"/>
      <c r="Q8" s="16"/>
    </row>
    <row r="9" spans="1:17" x14ac:dyDescent="0.25">
      <c r="A9" s="238" t="s">
        <v>500</v>
      </c>
      <c r="B9" t="s">
        <v>504</v>
      </c>
      <c r="C9" s="224" t="s">
        <v>498</v>
      </c>
      <c r="D9" s="1" t="s">
        <v>499</v>
      </c>
      <c r="E9" s="8" t="s">
        <v>505</v>
      </c>
      <c r="F9" s="1" t="s">
        <v>501</v>
      </c>
      <c r="G9" s="8" t="s">
        <v>502</v>
      </c>
      <c r="I9" s="88"/>
      <c r="J9" s="89"/>
      <c r="K9" s="8"/>
      <c r="L9" s="8"/>
      <c r="N9" s="8"/>
      <c r="O9" s="57"/>
      <c r="P9" s="16"/>
      <c r="Q9" s="16"/>
    </row>
    <row r="10" spans="1:17" x14ac:dyDescent="0.25">
      <c r="A10" s="1" t="s">
        <v>481</v>
      </c>
      <c r="B10" s="241">
        <v>0.45</v>
      </c>
      <c r="C10" s="239">
        <v>0.65</v>
      </c>
      <c r="D10" s="240">
        <v>0.25</v>
      </c>
      <c r="E10" s="236">
        <v>0.3</v>
      </c>
      <c r="F10" s="242">
        <v>0.4</v>
      </c>
      <c r="G10" s="243">
        <v>0.2</v>
      </c>
      <c r="I10" s="8"/>
      <c r="J10" s="8"/>
      <c r="K10" s="8"/>
      <c r="L10" s="8"/>
      <c r="N10" s="8"/>
      <c r="O10" s="8"/>
      <c r="P10" s="8"/>
      <c r="Q10" s="16"/>
    </row>
    <row r="11" spans="1:17" x14ac:dyDescent="0.25">
      <c r="A11" s="1" t="s">
        <v>492</v>
      </c>
      <c r="B11" s="224">
        <v>0</v>
      </c>
      <c r="C11" s="224">
        <v>0</v>
      </c>
      <c r="D11" s="224">
        <v>0</v>
      </c>
      <c r="E11" s="239">
        <v>0.45</v>
      </c>
      <c r="F11" s="243">
        <v>0.6</v>
      </c>
      <c r="G11" s="243">
        <v>0.3</v>
      </c>
      <c r="I11" s="8"/>
      <c r="J11" s="8"/>
      <c r="K11" s="8"/>
      <c r="L11" s="8"/>
      <c r="N11" s="8"/>
      <c r="O11" s="8"/>
      <c r="P11" s="8"/>
      <c r="Q11" s="16"/>
    </row>
    <row r="12" spans="1:17" x14ac:dyDescent="0.25">
      <c r="A12" s="1" t="s">
        <v>482</v>
      </c>
      <c r="B12" s="224">
        <v>0</v>
      </c>
      <c r="C12" s="224">
        <v>0</v>
      </c>
      <c r="D12" s="224">
        <v>0</v>
      </c>
      <c r="E12" s="239">
        <v>0.375</v>
      </c>
      <c r="F12" s="244">
        <v>0.25</v>
      </c>
      <c r="G12" s="243">
        <v>0.5</v>
      </c>
      <c r="I12" s="8"/>
      <c r="J12" s="8"/>
      <c r="K12" s="8"/>
      <c r="L12" s="8"/>
      <c r="N12" s="8"/>
      <c r="O12" s="8"/>
      <c r="P12" s="8"/>
      <c r="Q12" s="16"/>
    </row>
    <row r="13" spans="1:17" x14ac:dyDescent="0.25">
      <c r="A13" s="36" t="s">
        <v>503</v>
      </c>
      <c r="B13" s="239">
        <f>(12*B10+3*B11+9*B12)/24</f>
        <v>0.22500000000000001</v>
      </c>
      <c r="C13" s="224"/>
      <c r="D13" s="224"/>
      <c r="E13" s="239">
        <f>(12*E10+3*E11+9*E12)/24</f>
        <v>0.34687499999999999</v>
      </c>
      <c r="F13" s="224"/>
      <c r="G13" s="224"/>
      <c r="I13" s="8"/>
      <c r="J13" s="8"/>
      <c r="K13" s="8"/>
      <c r="L13" s="8"/>
      <c r="N13" s="8"/>
      <c r="O13" s="8"/>
      <c r="P13" s="8"/>
      <c r="Q13" s="16"/>
    </row>
    <row r="14" spans="1:17" x14ac:dyDescent="0.25">
      <c r="A14" s="66"/>
      <c r="B14" s="8"/>
      <c r="C14" s="8" t="s">
        <v>514</v>
      </c>
      <c r="D14" s="224">
        <v>1.5</v>
      </c>
      <c r="E14" s="224">
        <v>1.5</v>
      </c>
      <c r="F14" s="224">
        <v>1.5</v>
      </c>
      <c r="G14" s="224">
        <v>0.5</v>
      </c>
      <c r="H14" s="224">
        <v>0.5</v>
      </c>
      <c r="I14" s="224">
        <v>0.5</v>
      </c>
      <c r="J14" s="224">
        <v>0.5</v>
      </c>
      <c r="K14" s="224">
        <v>0.5</v>
      </c>
      <c r="L14" s="224">
        <v>0.5</v>
      </c>
      <c r="M14" s="224">
        <v>1.5</v>
      </c>
      <c r="N14" s="224">
        <v>1.5</v>
      </c>
      <c r="O14" s="224">
        <v>1.5</v>
      </c>
      <c r="P14" s="8"/>
      <c r="Q14" s="16"/>
    </row>
    <row r="15" spans="1:17" x14ac:dyDescent="0.25">
      <c r="A15" s="66"/>
      <c r="B15" s="8"/>
      <c r="C15" s="8" t="s">
        <v>515</v>
      </c>
      <c r="D15" s="224">
        <v>0.5</v>
      </c>
      <c r="E15" s="224">
        <v>0.5</v>
      </c>
      <c r="F15" s="224">
        <v>0.5</v>
      </c>
      <c r="G15" s="224">
        <v>1.5</v>
      </c>
      <c r="H15" s="224">
        <v>1.5</v>
      </c>
      <c r="I15" s="224">
        <v>1.5</v>
      </c>
      <c r="J15" s="224">
        <v>1.5</v>
      </c>
      <c r="K15" s="224">
        <v>1.5</v>
      </c>
      <c r="L15" s="224">
        <v>1.5</v>
      </c>
      <c r="M15" s="224">
        <v>0.5</v>
      </c>
      <c r="N15" s="224">
        <v>0.5</v>
      </c>
      <c r="O15" s="224">
        <v>0.5</v>
      </c>
      <c r="P15" s="8"/>
      <c r="Q15" s="16"/>
    </row>
    <row r="16" spans="1:17" x14ac:dyDescent="0.25">
      <c r="A16" s="66"/>
      <c r="B16" s="8"/>
      <c r="C16" s="8"/>
      <c r="D16" s="8"/>
      <c r="E16" s="8"/>
      <c r="F16" s="8"/>
      <c r="G16" s="84"/>
      <c r="H16" s="84"/>
      <c r="I16" s="8"/>
      <c r="J16" s="8"/>
      <c r="K16" s="8"/>
      <c r="L16" s="8"/>
      <c r="N16" s="8"/>
      <c r="O16" s="8"/>
      <c r="P16" s="8"/>
      <c r="Q16" s="16"/>
    </row>
    <row r="17" spans="1:17" x14ac:dyDescent="0.25">
      <c r="A17" s="6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N17" s="8"/>
      <c r="O17" s="8"/>
      <c r="P17" s="8"/>
      <c r="Q17" s="8"/>
    </row>
    <row r="18" spans="1:17" x14ac:dyDescent="0.25">
      <c r="A18" s="67"/>
      <c r="B18" s="190"/>
      <c r="C18" s="190"/>
      <c r="D18" s="190"/>
      <c r="E18" s="190"/>
      <c r="F18" s="190"/>
      <c r="G18" s="190"/>
      <c r="H18" s="190"/>
      <c r="I18" s="190"/>
      <c r="J18" s="8"/>
      <c r="K18" s="8"/>
      <c r="L18" s="8"/>
      <c r="N18" s="8"/>
      <c r="O18" s="8"/>
      <c r="P18" s="8"/>
      <c r="Q18" s="8"/>
    </row>
    <row r="19" spans="1:17" x14ac:dyDescent="0.25">
      <c r="D19" s="6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ht="57.5" x14ac:dyDescent="0.25">
      <c r="B20" s="69" t="s">
        <v>289</v>
      </c>
      <c r="C20" s="69"/>
      <c r="E20" s="69"/>
      <c r="F20" s="69"/>
      <c r="G20" s="102"/>
      <c r="H20" s="8"/>
      <c r="I20" s="102"/>
      <c r="J20" s="102"/>
      <c r="K20" s="8"/>
      <c r="L20" s="8"/>
      <c r="M20" s="8"/>
      <c r="N20" s="8"/>
      <c r="O20" s="8"/>
      <c r="P20" s="8"/>
      <c r="Q20" s="8"/>
    </row>
    <row r="21" spans="1:17" x14ac:dyDescent="0.25">
      <c r="B21" s="3"/>
      <c r="C21" s="3"/>
      <c r="D21" s="87" t="s">
        <v>14</v>
      </c>
      <c r="H21" s="23"/>
      <c r="I21" s="23"/>
      <c r="J21" s="23"/>
      <c r="K21" s="23"/>
      <c r="L21" s="23"/>
      <c r="M21" s="23"/>
    </row>
    <row r="22" spans="1:17" x14ac:dyDescent="0.25">
      <c r="A22" s="234" t="s">
        <v>478</v>
      </c>
      <c r="B22" s="87" t="s">
        <v>106</v>
      </c>
      <c r="C22" s="87" t="s">
        <v>252</v>
      </c>
      <c r="D22" t="s">
        <v>33</v>
      </c>
      <c r="E22" s="8" t="s">
        <v>34</v>
      </c>
      <c r="F22" s="8" t="s">
        <v>35</v>
      </c>
      <c r="G22" s="8" t="s">
        <v>36</v>
      </c>
      <c r="H22" s="8" t="s">
        <v>109</v>
      </c>
      <c r="I22" s="23" t="s">
        <v>37</v>
      </c>
      <c r="J22" s="23" t="s">
        <v>38</v>
      </c>
      <c r="K22" s="23" t="s">
        <v>39</v>
      </c>
      <c r="L22" s="23" t="s">
        <v>40</v>
      </c>
      <c r="M22" s="23" t="s">
        <v>107</v>
      </c>
      <c r="N22" t="s">
        <v>41</v>
      </c>
      <c r="O22" t="s">
        <v>108</v>
      </c>
    </row>
    <row r="23" spans="1:17" x14ac:dyDescent="0.25">
      <c r="A23" t="s">
        <v>158</v>
      </c>
      <c r="B23" s="1" t="s">
        <v>481</v>
      </c>
      <c r="C23" t="s">
        <v>271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  <c r="I23" s="90">
        <v>1</v>
      </c>
      <c r="J23" s="90">
        <v>1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</row>
    <row r="24" spans="1:17" x14ac:dyDescent="0.25">
      <c r="B24" s="1"/>
      <c r="C24" s="8" t="s">
        <v>296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90">
        <v>1</v>
      </c>
      <c r="J24" s="90">
        <v>1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</row>
    <row r="25" spans="1:17" x14ac:dyDescent="0.25">
      <c r="B25" s="1"/>
      <c r="C25" s="8" t="s">
        <v>266</v>
      </c>
      <c r="D25" s="90">
        <v>0.5</v>
      </c>
      <c r="E25" s="90">
        <v>0.5</v>
      </c>
      <c r="F25" s="90">
        <v>0.5</v>
      </c>
      <c r="G25" s="90">
        <v>0.5</v>
      </c>
      <c r="H25" s="90">
        <v>0.5</v>
      </c>
      <c r="I25" s="90">
        <v>0.5</v>
      </c>
      <c r="J25" s="90">
        <v>0.5</v>
      </c>
      <c r="K25" s="90">
        <v>0.5</v>
      </c>
      <c r="L25" s="90">
        <v>0.5</v>
      </c>
      <c r="M25" s="90">
        <v>0.5</v>
      </c>
      <c r="N25" s="90">
        <v>0.5</v>
      </c>
      <c r="O25" s="90">
        <v>0.5</v>
      </c>
    </row>
    <row r="26" spans="1:17" x14ac:dyDescent="0.25">
      <c r="B26" s="1"/>
      <c r="C26" s="8" t="s">
        <v>308</v>
      </c>
      <c r="D26" s="57">
        <v>0.45</v>
      </c>
      <c r="E26" s="57">
        <v>0.45</v>
      </c>
      <c r="F26" s="57">
        <v>0.45</v>
      </c>
      <c r="G26" s="57">
        <v>0.45</v>
      </c>
      <c r="H26" s="57">
        <v>0.45</v>
      </c>
      <c r="I26" s="57">
        <v>0.45</v>
      </c>
      <c r="J26" s="57">
        <v>0.45</v>
      </c>
      <c r="K26" s="57">
        <v>0.45</v>
      </c>
      <c r="L26" s="57">
        <v>0.45</v>
      </c>
      <c r="M26" s="57">
        <v>0.45</v>
      </c>
      <c r="N26" s="57">
        <v>0.45</v>
      </c>
      <c r="O26" s="57">
        <v>0.45</v>
      </c>
    </row>
    <row r="27" spans="1:17" x14ac:dyDescent="0.25">
      <c r="B27" s="1"/>
      <c r="C27" s="8" t="s">
        <v>507</v>
      </c>
      <c r="D27" s="57">
        <v>0.3</v>
      </c>
      <c r="E27" s="57">
        <v>0.3</v>
      </c>
      <c r="F27" s="57">
        <v>0.3</v>
      </c>
      <c r="G27" s="57">
        <v>0.3</v>
      </c>
      <c r="H27" s="57">
        <v>0.3</v>
      </c>
      <c r="I27" s="57">
        <v>0.3</v>
      </c>
      <c r="J27" s="57">
        <v>0.3</v>
      </c>
      <c r="K27" s="57">
        <v>0.3</v>
      </c>
      <c r="L27" s="57">
        <v>0.3</v>
      </c>
      <c r="M27" s="57">
        <v>0.3</v>
      </c>
      <c r="N27" s="57">
        <v>0.3</v>
      </c>
      <c r="O27" s="57">
        <v>0.3</v>
      </c>
    </row>
    <row r="28" spans="1:17" x14ac:dyDescent="0.25">
      <c r="B28" t="s">
        <v>232</v>
      </c>
      <c r="C28" t="s">
        <v>271</v>
      </c>
      <c r="D28" s="90">
        <v>1</v>
      </c>
      <c r="E28" s="90">
        <v>1</v>
      </c>
      <c r="F28" s="90">
        <v>1</v>
      </c>
      <c r="G28" s="90">
        <v>1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90">
        <v>1</v>
      </c>
      <c r="O28" s="90">
        <v>1</v>
      </c>
    </row>
    <row r="29" spans="1:17" x14ac:dyDescent="0.25">
      <c r="C29" s="8" t="s">
        <v>296</v>
      </c>
      <c r="D29" s="90">
        <v>1</v>
      </c>
      <c r="E29" s="90">
        <v>1</v>
      </c>
      <c r="F29" s="90">
        <v>1</v>
      </c>
      <c r="G29" s="90">
        <v>1</v>
      </c>
      <c r="H29" s="90">
        <v>1</v>
      </c>
      <c r="I29" s="90">
        <v>1</v>
      </c>
      <c r="J29" s="90">
        <v>1</v>
      </c>
      <c r="K29" s="90">
        <v>1</v>
      </c>
      <c r="L29" s="90">
        <v>1</v>
      </c>
      <c r="M29" s="90">
        <v>1</v>
      </c>
      <c r="N29" s="90">
        <v>1</v>
      </c>
      <c r="O29" s="90">
        <v>1</v>
      </c>
    </row>
    <row r="30" spans="1:17" x14ac:dyDescent="0.25">
      <c r="C30" s="8" t="s">
        <v>266</v>
      </c>
      <c r="D30" s="90">
        <v>0.5</v>
      </c>
      <c r="E30" s="90">
        <v>0.5</v>
      </c>
      <c r="F30" s="90">
        <v>0.5</v>
      </c>
      <c r="G30" s="90">
        <v>0.5</v>
      </c>
      <c r="H30" s="90">
        <v>0.5</v>
      </c>
      <c r="I30" s="90">
        <v>0.5</v>
      </c>
      <c r="J30" s="90">
        <v>0.5</v>
      </c>
      <c r="K30" s="90">
        <v>0.5</v>
      </c>
      <c r="L30" s="90">
        <v>0.5</v>
      </c>
      <c r="M30" s="90">
        <v>0.5</v>
      </c>
      <c r="N30" s="90">
        <v>0.5</v>
      </c>
      <c r="O30" s="90">
        <v>0.5</v>
      </c>
    </row>
    <row r="31" spans="1:17" x14ac:dyDescent="0.25">
      <c r="C31" s="8" t="s">
        <v>308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</row>
    <row r="32" spans="1:17" x14ac:dyDescent="0.25">
      <c r="C32" s="8" t="s">
        <v>507</v>
      </c>
      <c r="D32" s="57">
        <v>0.45</v>
      </c>
      <c r="E32" s="57">
        <v>0.45</v>
      </c>
      <c r="F32" s="57">
        <v>0.45</v>
      </c>
      <c r="G32" s="57">
        <v>0.45</v>
      </c>
      <c r="H32" s="57">
        <v>0.45</v>
      </c>
      <c r="I32" s="57">
        <v>0.45</v>
      </c>
      <c r="J32" s="57">
        <v>0.45</v>
      </c>
      <c r="K32" s="57">
        <v>0.45</v>
      </c>
      <c r="L32" s="57">
        <v>0.45</v>
      </c>
      <c r="M32" s="57">
        <v>0.45</v>
      </c>
      <c r="N32" s="57">
        <v>0.45</v>
      </c>
      <c r="O32" s="57">
        <v>0.45</v>
      </c>
    </row>
    <row r="33" spans="1:15" x14ac:dyDescent="0.25">
      <c r="B33" s="8" t="s">
        <v>482</v>
      </c>
      <c r="C33" t="s">
        <v>271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x14ac:dyDescent="0.25">
      <c r="B34" s="8"/>
      <c r="C34" s="8" t="s">
        <v>296</v>
      </c>
      <c r="D34" s="90">
        <v>1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x14ac:dyDescent="0.25">
      <c r="B35" s="8"/>
      <c r="C35" s="8" t="s">
        <v>266</v>
      </c>
      <c r="D35" s="90">
        <v>0.5</v>
      </c>
      <c r="E35" s="90">
        <v>0.5</v>
      </c>
      <c r="F35" s="90">
        <v>0.5</v>
      </c>
      <c r="G35" s="90">
        <v>0.5</v>
      </c>
      <c r="H35" s="90">
        <v>0.5</v>
      </c>
      <c r="I35" s="90">
        <v>0.5</v>
      </c>
      <c r="J35" s="90">
        <v>0.5</v>
      </c>
      <c r="K35" s="90">
        <v>0.5</v>
      </c>
      <c r="L35" s="90">
        <v>0.5</v>
      </c>
      <c r="M35" s="90">
        <v>0.5</v>
      </c>
      <c r="N35" s="90">
        <v>0.5</v>
      </c>
      <c r="O35" s="90">
        <v>0.5</v>
      </c>
    </row>
    <row r="36" spans="1:15" x14ac:dyDescent="0.25">
      <c r="B36" s="8"/>
      <c r="C36" s="8" t="s">
        <v>308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</row>
    <row r="37" spans="1:15" x14ac:dyDescent="0.25">
      <c r="B37" s="8"/>
      <c r="C37" s="8" t="s">
        <v>507</v>
      </c>
      <c r="D37" s="57">
        <v>0.38</v>
      </c>
      <c r="E37" s="57">
        <v>0.38</v>
      </c>
      <c r="F37" s="57">
        <v>0.38</v>
      </c>
      <c r="G37" s="57">
        <v>0.38</v>
      </c>
      <c r="H37" s="57">
        <v>0.38</v>
      </c>
      <c r="I37" s="57">
        <v>0.38</v>
      </c>
      <c r="J37" s="57">
        <v>0.38</v>
      </c>
      <c r="K37" s="57">
        <v>0.38</v>
      </c>
      <c r="L37" s="57">
        <v>0.38</v>
      </c>
      <c r="M37" s="57">
        <v>0.38</v>
      </c>
      <c r="N37" s="57">
        <v>0.38</v>
      </c>
      <c r="O37" s="57">
        <v>0.38</v>
      </c>
    </row>
    <row r="38" spans="1:15" x14ac:dyDescent="0.25">
      <c r="A38" t="s">
        <v>479</v>
      </c>
      <c r="B38" s="8" t="s">
        <v>480</v>
      </c>
      <c r="C38" t="s">
        <v>271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x14ac:dyDescent="0.25">
      <c r="B39" s="8"/>
      <c r="C39" s="8" t="s">
        <v>296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x14ac:dyDescent="0.25">
      <c r="B40" s="8"/>
      <c r="C40" s="8" t="s">
        <v>266</v>
      </c>
      <c r="D40" s="90">
        <v>0.5</v>
      </c>
      <c r="E40" s="90">
        <v>0.5</v>
      </c>
      <c r="F40" s="90">
        <v>0.5</v>
      </c>
      <c r="G40" s="90">
        <v>0.5</v>
      </c>
      <c r="H40" s="90">
        <v>0.5</v>
      </c>
      <c r="I40" s="90">
        <v>0.5</v>
      </c>
      <c r="J40" s="90">
        <v>0.5</v>
      </c>
      <c r="K40" s="90">
        <v>0.5</v>
      </c>
      <c r="L40" s="90">
        <v>0.5</v>
      </c>
      <c r="M40" s="90">
        <v>0.5</v>
      </c>
      <c r="N40" s="90">
        <v>0.5</v>
      </c>
      <c r="O40" s="90">
        <v>0.5</v>
      </c>
    </row>
    <row r="41" spans="1:15" x14ac:dyDescent="0.25">
      <c r="B41" s="8"/>
      <c r="C41" s="8" t="s">
        <v>308</v>
      </c>
      <c r="D41" s="57">
        <v>0.22500000000000001</v>
      </c>
      <c r="E41" s="57">
        <v>0.22500000000000001</v>
      </c>
      <c r="F41" s="57">
        <v>0.22500000000000001</v>
      </c>
      <c r="G41" s="57">
        <v>0.22500000000000001</v>
      </c>
      <c r="H41" s="57">
        <v>0.22500000000000001</v>
      </c>
      <c r="I41" s="57">
        <v>0.22500000000000001</v>
      </c>
      <c r="J41" s="57">
        <v>0.22500000000000001</v>
      </c>
      <c r="K41" s="57">
        <v>0.22500000000000001</v>
      </c>
      <c r="L41" s="57">
        <v>0.22500000000000001</v>
      </c>
      <c r="M41" s="57">
        <v>0.22500000000000001</v>
      </c>
      <c r="N41" s="57">
        <v>0.22500000000000001</v>
      </c>
      <c r="O41" s="57">
        <v>0.22500000000000001</v>
      </c>
    </row>
    <row r="42" spans="1:15" x14ac:dyDescent="0.25">
      <c r="B42" s="8"/>
      <c r="C42" s="8" t="s">
        <v>507</v>
      </c>
      <c r="D42" s="57">
        <v>0.35</v>
      </c>
      <c r="E42" s="57">
        <v>0.35</v>
      </c>
      <c r="F42" s="57">
        <v>0.35</v>
      </c>
      <c r="G42" s="57">
        <v>0.35</v>
      </c>
      <c r="H42" s="57">
        <v>0.35</v>
      </c>
      <c r="I42" s="57">
        <v>0.35</v>
      </c>
      <c r="J42" s="57">
        <v>0.35</v>
      </c>
      <c r="K42" s="57">
        <v>0.35</v>
      </c>
      <c r="L42" s="57">
        <v>0.35</v>
      </c>
      <c r="M42" s="57">
        <v>0.35</v>
      </c>
      <c r="N42" s="57">
        <v>0.35</v>
      </c>
      <c r="O42" s="57">
        <v>0.35</v>
      </c>
    </row>
    <row r="43" spans="1:15" x14ac:dyDescent="0.25">
      <c r="A43" t="s">
        <v>491</v>
      </c>
      <c r="B43" t="s">
        <v>485</v>
      </c>
      <c r="C43" t="s">
        <v>271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90">
        <v>1</v>
      </c>
      <c r="J43" s="90">
        <v>1</v>
      </c>
      <c r="K43" s="90">
        <v>1</v>
      </c>
      <c r="L43" s="90">
        <v>1</v>
      </c>
      <c r="M43" s="90">
        <v>1</v>
      </c>
      <c r="N43" s="90">
        <v>1</v>
      </c>
      <c r="O43" s="90">
        <v>1</v>
      </c>
    </row>
    <row r="44" spans="1:15" x14ac:dyDescent="0.25">
      <c r="C44" s="8" t="s">
        <v>296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90">
        <v>1</v>
      </c>
      <c r="J44" s="90">
        <v>1</v>
      </c>
      <c r="K44" s="90">
        <v>1</v>
      </c>
      <c r="L44" s="90">
        <v>1</v>
      </c>
      <c r="M44" s="90">
        <v>1</v>
      </c>
      <c r="N44" s="90">
        <v>1</v>
      </c>
      <c r="O44" s="90">
        <v>1</v>
      </c>
    </row>
    <row r="45" spans="1:15" x14ac:dyDescent="0.25">
      <c r="C45" s="8" t="s">
        <v>266</v>
      </c>
      <c r="D45" s="90">
        <v>0.5</v>
      </c>
      <c r="E45" s="90">
        <v>0.5</v>
      </c>
      <c r="F45" s="90">
        <v>0.5</v>
      </c>
      <c r="G45" s="90">
        <v>0.5</v>
      </c>
      <c r="H45" s="90">
        <v>0.5</v>
      </c>
      <c r="I45" s="90">
        <v>0.5</v>
      </c>
      <c r="J45" s="90">
        <v>0.5</v>
      </c>
      <c r="K45" s="90">
        <v>0.5</v>
      </c>
      <c r="L45" s="90">
        <v>0.5</v>
      </c>
      <c r="M45" s="90">
        <v>0.5</v>
      </c>
      <c r="N45" s="90">
        <v>0.5</v>
      </c>
      <c r="O45" s="90">
        <v>0.5</v>
      </c>
    </row>
    <row r="46" spans="1:15" x14ac:dyDescent="0.25">
      <c r="C46" s="8" t="s">
        <v>308</v>
      </c>
      <c r="D46" s="57">
        <v>0.65</v>
      </c>
      <c r="E46" s="57">
        <v>0.65</v>
      </c>
      <c r="F46" s="57">
        <v>0.65</v>
      </c>
      <c r="G46" s="57">
        <v>0.65</v>
      </c>
      <c r="H46" s="57">
        <v>0.65</v>
      </c>
      <c r="I46" s="57">
        <v>0.65</v>
      </c>
      <c r="J46" s="57">
        <v>0.65</v>
      </c>
      <c r="K46" s="57">
        <v>0.65</v>
      </c>
      <c r="L46" s="57">
        <v>0.65</v>
      </c>
      <c r="M46" s="57">
        <v>0.65</v>
      </c>
      <c r="N46" s="57">
        <v>0.65</v>
      </c>
      <c r="O46" s="57">
        <v>0.65</v>
      </c>
    </row>
    <row r="47" spans="1:15" x14ac:dyDescent="0.25">
      <c r="C47" s="8" t="s">
        <v>507</v>
      </c>
      <c r="D47" s="57">
        <v>0.4</v>
      </c>
      <c r="E47" s="57">
        <v>0.4</v>
      </c>
      <c r="F47" s="57">
        <v>0.4</v>
      </c>
      <c r="G47" s="57">
        <v>0.4</v>
      </c>
      <c r="H47" s="57">
        <v>0.4</v>
      </c>
      <c r="I47" s="57">
        <v>0.4</v>
      </c>
      <c r="J47" s="57">
        <v>0.4</v>
      </c>
      <c r="K47" s="57">
        <v>0.4</v>
      </c>
      <c r="L47" s="57">
        <v>0.4</v>
      </c>
      <c r="M47" s="57">
        <v>0.4</v>
      </c>
      <c r="N47" s="57">
        <v>0.4</v>
      </c>
      <c r="O47" s="57">
        <v>0.4</v>
      </c>
    </row>
    <row r="48" spans="1:15" x14ac:dyDescent="0.25">
      <c r="B48" t="s">
        <v>486</v>
      </c>
      <c r="C48" t="s">
        <v>271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  <c r="I48" s="90">
        <v>1</v>
      </c>
      <c r="J48" s="90">
        <v>1</v>
      </c>
      <c r="K48" s="90">
        <v>1</v>
      </c>
      <c r="L48" s="90">
        <v>1</v>
      </c>
      <c r="M48" s="90">
        <v>1</v>
      </c>
      <c r="N48" s="90">
        <v>1</v>
      </c>
      <c r="O48" s="90">
        <v>1</v>
      </c>
    </row>
    <row r="49" spans="2:15" x14ac:dyDescent="0.25">
      <c r="C49" s="8" t="s">
        <v>296</v>
      </c>
      <c r="D49" s="90">
        <v>1</v>
      </c>
      <c r="E49" s="90">
        <v>1</v>
      </c>
      <c r="F49" s="90">
        <v>1</v>
      </c>
      <c r="G49" s="90">
        <v>1</v>
      </c>
      <c r="H49" s="90">
        <v>1</v>
      </c>
      <c r="I49" s="90">
        <v>1</v>
      </c>
      <c r="J49" s="90">
        <v>1</v>
      </c>
      <c r="K49" s="90">
        <v>1</v>
      </c>
      <c r="L49" s="90">
        <v>1</v>
      </c>
      <c r="M49" s="90">
        <v>1</v>
      </c>
      <c r="N49" s="90">
        <v>1</v>
      </c>
      <c r="O49" s="90">
        <v>1</v>
      </c>
    </row>
    <row r="50" spans="2:15" x14ac:dyDescent="0.25">
      <c r="C50" s="8" t="s">
        <v>266</v>
      </c>
      <c r="D50" s="90">
        <v>0.5</v>
      </c>
      <c r="E50" s="90">
        <v>0.5</v>
      </c>
      <c r="F50" s="90">
        <v>0.5</v>
      </c>
      <c r="G50" s="90">
        <v>0.5</v>
      </c>
      <c r="H50" s="90">
        <v>0.5</v>
      </c>
      <c r="I50" s="90">
        <v>0.5</v>
      </c>
      <c r="J50" s="90">
        <v>0.5</v>
      </c>
      <c r="K50" s="90">
        <v>0.5</v>
      </c>
      <c r="L50" s="90">
        <v>0.5</v>
      </c>
      <c r="M50" s="90">
        <v>0.5</v>
      </c>
      <c r="N50" s="90">
        <v>0.5</v>
      </c>
      <c r="O50" s="90">
        <v>0.5</v>
      </c>
    </row>
    <row r="51" spans="2:15" x14ac:dyDescent="0.25">
      <c r="C51" s="8" t="s">
        <v>308</v>
      </c>
      <c r="D51" s="57">
        <v>0.65</v>
      </c>
      <c r="E51" s="57">
        <v>0.65</v>
      </c>
      <c r="F51" s="57">
        <v>0.65</v>
      </c>
      <c r="G51" s="57">
        <v>0.65</v>
      </c>
      <c r="H51" s="57">
        <v>0.65</v>
      </c>
      <c r="I51" s="57">
        <v>0.65</v>
      </c>
      <c r="J51" s="57">
        <v>0.65</v>
      </c>
      <c r="K51" s="57">
        <v>0.65</v>
      </c>
      <c r="L51" s="57">
        <v>0.65</v>
      </c>
      <c r="M51" s="57">
        <v>0.65</v>
      </c>
      <c r="N51" s="57">
        <v>0.65</v>
      </c>
      <c r="O51" s="57">
        <v>0.65</v>
      </c>
    </row>
    <row r="52" spans="2:15" x14ac:dyDescent="0.25">
      <c r="C52" s="8" t="s">
        <v>507</v>
      </c>
      <c r="D52" s="57">
        <v>0.2</v>
      </c>
      <c r="E52" s="57">
        <v>0.2</v>
      </c>
      <c r="F52" s="57">
        <v>0.2</v>
      </c>
      <c r="G52" s="57">
        <v>0.2</v>
      </c>
      <c r="H52" s="57">
        <v>0.2</v>
      </c>
      <c r="I52" s="57">
        <v>0.2</v>
      </c>
      <c r="J52" s="57">
        <v>0.2</v>
      </c>
      <c r="K52" s="57">
        <v>0.2</v>
      </c>
      <c r="L52" s="57">
        <v>0.2</v>
      </c>
      <c r="M52" s="57">
        <v>0.2</v>
      </c>
      <c r="N52" s="57">
        <v>0.2</v>
      </c>
      <c r="O52" s="57">
        <v>0.2</v>
      </c>
    </row>
    <row r="53" spans="2:15" x14ac:dyDescent="0.25">
      <c r="B53" t="s">
        <v>487</v>
      </c>
      <c r="C53" t="s">
        <v>271</v>
      </c>
      <c r="D53" s="90">
        <v>1</v>
      </c>
      <c r="E53" s="90">
        <v>1</v>
      </c>
      <c r="F53" s="90">
        <v>1</v>
      </c>
      <c r="G53" s="90">
        <v>1</v>
      </c>
      <c r="H53" s="90">
        <v>1</v>
      </c>
      <c r="I53" s="90">
        <v>1</v>
      </c>
      <c r="J53" s="90">
        <v>1</v>
      </c>
      <c r="K53" s="90">
        <v>1</v>
      </c>
      <c r="L53" s="90">
        <v>1</v>
      </c>
      <c r="M53" s="90">
        <v>1</v>
      </c>
      <c r="N53" s="90">
        <v>1</v>
      </c>
      <c r="O53" s="90">
        <v>1</v>
      </c>
    </row>
    <row r="54" spans="2:15" x14ac:dyDescent="0.25">
      <c r="C54" s="8" t="s">
        <v>296</v>
      </c>
      <c r="D54" s="90">
        <v>1</v>
      </c>
      <c r="E54" s="90">
        <v>1</v>
      </c>
      <c r="F54" s="90">
        <v>1</v>
      </c>
      <c r="G54" s="90">
        <v>1</v>
      </c>
      <c r="H54" s="90">
        <v>1</v>
      </c>
      <c r="I54" s="90">
        <v>1</v>
      </c>
      <c r="J54" s="90">
        <v>1</v>
      </c>
      <c r="K54" s="90">
        <v>1</v>
      </c>
      <c r="L54" s="90">
        <v>1</v>
      </c>
      <c r="M54" s="90">
        <v>1</v>
      </c>
      <c r="N54" s="90">
        <v>1</v>
      </c>
      <c r="O54" s="90">
        <v>1</v>
      </c>
    </row>
    <row r="55" spans="2:15" x14ac:dyDescent="0.25">
      <c r="C55" s="8" t="s">
        <v>266</v>
      </c>
      <c r="D55" s="90">
        <v>0.5</v>
      </c>
      <c r="E55" s="90">
        <v>0.5</v>
      </c>
      <c r="F55" s="90">
        <v>0.5</v>
      </c>
      <c r="G55" s="90">
        <v>0.5</v>
      </c>
      <c r="H55" s="90">
        <v>0.5</v>
      </c>
      <c r="I55" s="90">
        <v>0.5</v>
      </c>
      <c r="J55" s="90">
        <v>0.5</v>
      </c>
      <c r="K55" s="90">
        <v>0.5</v>
      </c>
      <c r="L55" s="90">
        <v>0.5</v>
      </c>
      <c r="M55" s="90">
        <v>0.5</v>
      </c>
      <c r="N55" s="90">
        <v>0.5</v>
      </c>
      <c r="O55" s="90">
        <v>0.5</v>
      </c>
    </row>
    <row r="56" spans="2:15" x14ac:dyDescent="0.25">
      <c r="C56" s="8" t="s">
        <v>308</v>
      </c>
      <c r="D56" s="57">
        <v>0.25</v>
      </c>
      <c r="E56" s="57">
        <v>0.25</v>
      </c>
      <c r="F56" s="57">
        <v>0.25</v>
      </c>
      <c r="G56" s="57">
        <v>0.25</v>
      </c>
      <c r="H56" s="57">
        <v>0.25</v>
      </c>
      <c r="I56" s="57">
        <v>0.25</v>
      </c>
      <c r="J56" s="57">
        <v>0.25</v>
      </c>
      <c r="K56" s="57">
        <v>0.25</v>
      </c>
      <c r="L56" s="57">
        <v>0.25</v>
      </c>
      <c r="M56" s="57">
        <v>0.25</v>
      </c>
      <c r="N56" s="57">
        <v>0.25</v>
      </c>
      <c r="O56" s="57">
        <v>0.25</v>
      </c>
    </row>
    <row r="57" spans="2:15" x14ac:dyDescent="0.25">
      <c r="C57" s="8" t="s">
        <v>507</v>
      </c>
      <c r="D57" s="57">
        <v>0.4</v>
      </c>
      <c r="E57" s="57">
        <v>0.4</v>
      </c>
      <c r="F57" s="57">
        <v>0.4</v>
      </c>
      <c r="G57" s="57">
        <v>0.4</v>
      </c>
      <c r="H57" s="57">
        <v>0.4</v>
      </c>
      <c r="I57" s="57">
        <v>0.4</v>
      </c>
      <c r="J57" s="57">
        <v>0.4</v>
      </c>
      <c r="K57" s="57">
        <v>0.4</v>
      </c>
      <c r="L57" s="57">
        <v>0.4</v>
      </c>
      <c r="M57" s="57">
        <v>0.4</v>
      </c>
      <c r="N57" s="57">
        <v>0.4</v>
      </c>
      <c r="O57" s="57">
        <v>0.4</v>
      </c>
    </row>
    <row r="58" spans="2:15" x14ac:dyDescent="0.25">
      <c r="B58" t="s">
        <v>488</v>
      </c>
      <c r="C58" t="s">
        <v>271</v>
      </c>
      <c r="D58" s="90">
        <v>1</v>
      </c>
      <c r="E58" s="90">
        <v>1</v>
      </c>
      <c r="F58" s="90">
        <v>1</v>
      </c>
      <c r="G58" s="90">
        <v>1</v>
      </c>
      <c r="H58" s="90">
        <v>1</v>
      </c>
      <c r="I58" s="90">
        <v>1</v>
      </c>
      <c r="J58" s="90">
        <v>1</v>
      </c>
      <c r="K58" s="90">
        <v>1</v>
      </c>
      <c r="L58" s="90">
        <v>1</v>
      </c>
      <c r="M58" s="90">
        <v>1</v>
      </c>
      <c r="N58" s="90">
        <v>1</v>
      </c>
      <c r="O58" s="90">
        <v>1</v>
      </c>
    </row>
    <row r="59" spans="2:15" x14ac:dyDescent="0.25">
      <c r="C59" s="8" t="s">
        <v>296</v>
      </c>
      <c r="D59" s="90">
        <v>1</v>
      </c>
      <c r="E59" s="90">
        <v>1</v>
      </c>
      <c r="F59" s="90">
        <v>1</v>
      </c>
      <c r="G59" s="90">
        <v>1</v>
      </c>
      <c r="H59" s="90">
        <v>1</v>
      </c>
      <c r="I59" s="90">
        <v>1</v>
      </c>
      <c r="J59" s="90">
        <v>1</v>
      </c>
      <c r="K59" s="90">
        <v>1</v>
      </c>
      <c r="L59" s="90">
        <v>1</v>
      </c>
      <c r="M59" s="90">
        <v>1</v>
      </c>
      <c r="N59" s="90">
        <v>1</v>
      </c>
      <c r="O59" s="90">
        <v>1</v>
      </c>
    </row>
    <row r="60" spans="2:15" x14ac:dyDescent="0.25">
      <c r="C60" s="8" t="s">
        <v>266</v>
      </c>
      <c r="D60" s="90">
        <v>0.5</v>
      </c>
      <c r="E60" s="90">
        <v>0.5</v>
      </c>
      <c r="F60" s="90">
        <v>0.5</v>
      </c>
      <c r="G60" s="90">
        <v>0.5</v>
      </c>
      <c r="H60" s="90">
        <v>0.5</v>
      </c>
      <c r="I60" s="90">
        <v>0.5</v>
      </c>
      <c r="J60" s="90">
        <v>0.5</v>
      </c>
      <c r="K60" s="90">
        <v>0.5</v>
      </c>
      <c r="L60" s="90">
        <v>0.5</v>
      </c>
      <c r="M60" s="90">
        <v>0.5</v>
      </c>
      <c r="N60" s="90">
        <v>0.5</v>
      </c>
      <c r="O60" s="90">
        <v>0.5</v>
      </c>
    </row>
    <row r="61" spans="2:15" x14ac:dyDescent="0.25">
      <c r="C61" s="8" t="s">
        <v>308</v>
      </c>
      <c r="D61" s="57">
        <v>0.25</v>
      </c>
      <c r="E61" s="57">
        <v>0.25</v>
      </c>
      <c r="F61" s="57">
        <v>0.25</v>
      </c>
      <c r="G61" s="57">
        <v>0.25</v>
      </c>
      <c r="H61" s="57">
        <v>0.25</v>
      </c>
      <c r="I61" s="57">
        <v>0.25</v>
      </c>
      <c r="J61" s="57">
        <v>0.25</v>
      </c>
      <c r="K61" s="57">
        <v>0.25</v>
      </c>
      <c r="L61" s="57">
        <v>0.25</v>
      </c>
      <c r="M61" s="57">
        <v>0.25</v>
      </c>
      <c r="N61" s="57">
        <v>0.25</v>
      </c>
      <c r="O61" s="57">
        <v>0.25</v>
      </c>
    </row>
    <row r="62" spans="2:15" x14ac:dyDescent="0.25">
      <c r="C62" s="8" t="s">
        <v>507</v>
      </c>
      <c r="D62" s="57">
        <v>0.2</v>
      </c>
      <c r="E62" s="57">
        <v>0.2</v>
      </c>
      <c r="F62" s="57">
        <v>0.2</v>
      </c>
      <c r="G62" s="57">
        <v>0.2</v>
      </c>
      <c r="H62" s="57">
        <v>0.2</v>
      </c>
      <c r="I62" s="57">
        <v>0.2</v>
      </c>
      <c r="J62" s="57">
        <v>0.2</v>
      </c>
      <c r="K62" s="57">
        <v>0.2</v>
      </c>
      <c r="L62" s="57">
        <v>0.2</v>
      </c>
      <c r="M62" s="57">
        <v>0.2</v>
      </c>
      <c r="N62" s="57">
        <v>0.2</v>
      </c>
      <c r="O62" s="57">
        <v>0.2</v>
      </c>
    </row>
    <row r="63" spans="2:15" x14ac:dyDescent="0.25">
      <c r="B63" t="s">
        <v>490</v>
      </c>
      <c r="C63" t="s">
        <v>271</v>
      </c>
      <c r="D63" s="90">
        <v>1</v>
      </c>
      <c r="E63" s="90">
        <v>1</v>
      </c>
      <c r="F63" s="90">
        <v>1</v>
      </c>
      <c r="G63" s="90">
        <v>1</v>
      </c>
      <c r="H63" s="90">
        <v>1</v>
      </c>
      <c r="I63" s="90">
        <v>1</v>
      </c>
      <c r="J63" s="90">
        <v>1</v>
      </c>
      <c r="K63" s="90">
        <v>1</v>
      </c>
      <c r="L63" s="90">
        <v>1</v>
      </c>
      <c r="M63" s="90">
        <v>1</v>
      </c>
      <c r="N63" s="90">
        <v>1</v>
      </c>
      <c r="O63" s="90">
        <v>1</v>
      </c>
    </row>
    <row r="64" spans="2:15" x14ac:dyDescent="0.25">
      <c r="C64" s="8" t="s">
        <v>296</v>
      </c>
      <c r="D64" s="90">
        <v>1</v>
      </c>
      <c r="E64" s="90">
        <v>1</v>
      </c>
      <c r="F64" s="90">
        <v>1</v>
      </c>
      <c r="G64" s="90">
        <v>1</v>
      </c>
      <c r="H64" s="90">
        <v>1</v>
      </c>
      <c r="I64" s="90">
        <v>1</v>
      </c>
      <c r="J64" s="90">
        <v>1</v>
      </c>
      <c r="K64" s="90">
        <v>1</v>
      </c>
      <c r="L64" s="90">
        <v>1</v>
      </c>
      <c r="M64" s="90">
        <v>1</v>
      </c>
      <c r="N64" s="90">
        <v>1</v>
      </c>
      <c r="O64" s="90">
        <v>1</v>
      </c>
    </row>
    <row r="65" spans="2:15" x14ac:dyDescent="0.25">
      <c r="C65" s="8" t="s">
        <v>266</v>
      </c>
      <c r="D65" s="90">
        <v>0.5</v>
      </c>
      <c r="E65" s="90">
        <v>0.5</v>
      </c>
      <c r="F65" s="90">
        <v>0.5</v>
      </c>
      <c r="G65" s="90">
        <v>0.5</v>
      </c>
      <c r="H65" s="90">
        <v>0.5</v>
      </c>
      <c r="I65" s="90">
        <v>0.5</v>
      </c>
      <c r="J65" s="90">
        <v>0.5</v>
      </c>
      <c r="K65" s="90">
        <v>0.5</v>
      </c>
      <c r="L65" s="90">
        <v>0.5</v>
      </c>
      <c r="M65" s="90">
        <v>0.5</v>
      </c>
      <c r="N65" s="90">
        <v>0.5</v>
      </c>
      <c r="O65" s="90">
        <v>0.5</v>
      </c>
    </row>
    <row r="66" spans="2:15" x14ac:dyDescent="0.25">
      <c r="C66" s="8" t="s">
        <v>308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</row>
    <row r="67" spans="2:15" x14ac:dyDescent="0.25">
      <c r="C67" s="8" t="s">
        <v>507</v>
      </c>
      <c r="D67" s="57">
        <v>0.6</v>
      </c>
      <c r="E67" s="57">
        <v>0.6</v>
      </c>
      <c r="F67" s="57">
        <v>0.6</v>
      </c>
      <c r="G67" s="57">
        <v>0.6</v>
      </c>
      <c r="H67" s="57">
        <v>0.6</v>
      </c>
      <c r="I67" s="57">
        <v>0.6</v>
      </c>
      <c r="J67" s="57">
        <v>0.6</v>
      </c>
      <c r="K67" s="57">
        <v>0.6</v>
      </c>
      <c r="L67" s="57">
        <v>0.6</v>
      </c>
      <c r="M67" s="57">
        <v>0.6</v>
      </c>
      <c r="N67" s="57">
        <v>0.6</v>
      </c>
      <c r="O67" s="57">
        <v>0.6</v>
      </c>
    </row>
    <row r="68" spans="2:15" x14ac:dyDescent="0.25">
      <c r="B68" t="s">
        <v>489</v>
      </c>
      <c r="C68" t="s">
        <v>271</v>
      </c>
      <c r="D68" s="90">
        <v>1</v>
      </c>
      <c r="E68" s="90">
        <v>1</v>
      </c>
      <c r="F68" s="90">
        <v>1</v>
      </c>
      <c r="G68" s="90">
        <v>1</v>
      </c>
      <c r="H68" s="90">
        <v>1</v>
      </c>
      <c r="I68" s="90">
        <v>1</v>
      </c>
      <c r="J68" s="90">
        <v>1</v>
      </c>
      <c r="K68" s="90">
        <v>1</v>
      </c>
      <c r="L68" s="90">
        <v>1</v>
      </c>
      <c r="M68" s="90">
        <v>1</v>
      </c>
      <c r="N68" s="90">
        <v>1</v>
      </c>
      <c r="O68" s="90">
        <v>1</v>
      </c>
    </row>
    <row r="69" spans="2:15" x14ac:dyDescent="0.25">
      <c r="C69" s="8" t="s">
        <v>296</v>
      </c>
      <c r="D69" s="90">
        <v>1</v>
      </c>
      <c r="E69" s="90">
        <v>1</v>
      </c>
      <c r="F69" s="90">
        <v>1</v>
      </c>
      <c r="G69" s="90">
        <v>1</v>
      </c>
      <c r="H69" s="90">
        <v>1</v>
      </c>
      <c r="I69" s="90">
        <v>1</v>
      </c>
      <c r="J69" s="90">
        <v>1</v>
      </c>
      <c r="K69" s="90">
        <v>1</v>
      </c>
      <c r="L69" s="90">
        <v>1</v>
      </c>
      <c r="M69" s="90">
        <v>1</v>
      </c>
      <c r="N69" s="90">
        <v>1</v>
      </c>
      <c r="O69" s="90">
        <v>1</v>
      </c>
    </row>
    <row r="70" spans="2:15" x14ac:dyDescent="0.25">
      <c r="C70" s="8" t="s">
        <v>266</v>
      </c>
      <c r="D70" s="90">
        <v>0.5</v>
      </c>
      <c r="E70" s="90">
        <v>0.5</v>
      </c>
      <c r="F70" s="90">
        <v>0.5</v>
      </c>
      <c r="G70" s="90">
        <v>0.5</v>
      </c>
      <c r="H70" s="90">
        <v>0.5</v>
      </c>
      <c r="I70" s="90">
        <v>0.5</v>
      </c>
      <c r="J70" s="90">
        <v>0.5</v>
      </c>
      <c r="K70" s="90">
        <v>0.5</v>
      </c>
      <c r="L70" s="90">
        <v>0.5</v>
      </c>
      <c r="M70" s="90">
        <v>0.5</v>
      </c>
      <c r="N70" s="90">
        <v>0.5</v>
      </c>
      <c r="O70" s="90">
        <v>0.5</v>
      </c>
    </row>
    <row r="71" spans="2:15" x14ac:dyDescent="0.25">
      <c r="C71" s="8" t="s">
        <v>308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</row>
    <row r="72" spans="2:15" x14ac:dyDescent="0.25">
      <c r="C72" s="8" t="s">
        <v>507</v>
      </c>
      <c r="D72" s="57">
        <v>0.3</v>
      </c>
      <c r="E72" s="57">
        <v>0.3</v>
      </c>
      <c r="F72" s="57">
        <v>0.3</v>
      </c>
      <c r="G72" s="57">
        <v>0.3</v>
      </c>
      <c r="H72" s="57">
        <v>0.3</v>
      </c>
      <c r="I72" s="57">
        <v>0.3</v>
      </c>
      <c r="J72" s="57">
        <v>0.3</v>
      </c>
      <c r="K72" s="57">
        <v>0.3</v>
      </c>
      <c r="L72" s="57">
        <v>0.3</v>
      </c>
      <c r="M72" s="57">
        <v>0.3</v>
      </c>
      <c r="N72" s="57">
        <v>0.3</v>
      </c>
      <c r="O72" s="57">
        <v>0.3</v>
      </c>
    </row>
    <row r="73" spans="2:15" x14ac:dyDescent="0.25">
      <c r="B73" t="s">
        <v>483</v>
      </c>
      <c r="C73" t="s">
        <v>271</v>
      </c>
      <c r="D73" s="90">
        <v>1</v>
      </c>
      <c r="E73" s="90">
        <v>1</v>
      </c>
      <c r="F73" s="90">
        <v>1</v>
      </c>
      <c r="G73" s="90">
        <v>1</v>
      </c>
      <c r="H73" s="90">
        <v>1</v>
      </c>
      <c r="I73" s="90">
        <v>1</v>
      </c>
      <c r="J73" s="90">
        <v>1</v>
      </c>
      <c r="K73" s="90">
        <v>1</v>
      </c>
      <c r="L73" s="90">
        <v>1</v>
      </c>
      <c r="M73" s="90">
        <v>1</v>
      </c>
      <c r="N73" s="90">
        <v>1</v>
      </c>
      <c r="O73" s="90">
        <v>1</v>
      </c>
    </row>
    <row r="74" spans="2:15" x14ac:dyDescent="0.25">
      <c r="C74" s="8" t="s">
        <v>296</v>
      </c>
      <c r="D74" s="90">
        <v>1</v>
      </c>
      <c r="E74" s="90">
        <v>1</v>
      </c>
      <c r="F74" s="90">
        <v>1</v>
      </c>
      <c r="G74" s="90">
        <v>1</v>
      </c>
      <c r="H74" s="90">
        <v>1</v>
      </c>
      <c r="I74" s="90">
        <v>1</v>
      </c>
      <c r="J74" s="90">
        <v>1</v>
      </c>
      <c r="K74" s="90">
        <v>1</v>
      </c>
      <c r="L74" s="90">
        <v>1</v>
      </c>
      <c r="M74" s="90">
        <v>1</v>
      </c>
      <c r="N74" s="90">
        <v>1</v>
      </c>
      <c r="O74" s="90">
        <v>1</v>
      </c>
    </row>
    <row r="75" spans="2:15" x14ac:dyDescent="0.25">
      <c r="C75" s="8" t="s">
        <v>266</v>
      </c>
      <c r="D75" s="90">
        <v>0.5</v>
      </c>
      <c r="E75" s="90">
        <v>0.5</v>
      </c>
      <c r="F75" s="90">
        <v>0.5</v>
      </c>
      <c r="G75" s="90">
        <v>0.5</v>
      </c>
      <c r="H75" s="90">
        <v>0.5</v>
      </c>
      <c r="I75" s="90">
        <v>0.5</v>
      </c>
      <c r="J75" s="90">
        <v>0.5</v>
      </c>
      <c r="K75" s="90">
        <v>0.5</v>
      </c>
      <c r="L75" s="90">
        <v>0.5</v>
      </c>
      <c r="M75" s="90">
        <v>0.5</v>
      </c>
      <c r="N75" s="90">
        <v>0.5</v>
      </c>
      <c r="O75" s="90">
        <v>0.5</v>
      </c>
    </row>
    <row r="76" spans="2:15" x14ac:dyDescent="0.25">
      <c r="C76" s="8" t="s">
        <v>308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</row>
    <row r="77" spans="2:15" x14ac:dyDescent="0.25">
      <c r="C77" s="8" t="s">
        <v>507</v>
      </c>
      <c r="D77" s="57">
        <v>0.5</v>
      </c>
      <c r="E77" s="57">
        <v>0.5</v>
      </c>
      <c r="F77" s="57">
        <v>0.5</v>
      </c>
      <c r="G77" s="57">
        <v>0.5</v>
      </c>
      <c r="H77" s="57">
        <v>0.5</v>
      </c>
      <c r="I77" s="57">
        <v>0.5</v>
      </c>
      <c r="J77" s="57">
        <v>0.5</v>
      </c>
      <c r="K77" s="57">
        <v>0.5</v>
      </c>
      <c r="L77" s="57">
        <v>0.5</v>
      </c>
      <c r="M77" s="57">
        <v>0.5</v>
      </c>
      <c r="N77" s="57">
        <v>0.5</v>
      </c>
      <c r="O77" s="57">
        <v>0.5</v>
      </c>
    </row>
    <row r="78" spans="2:15" x14ac:dyDescent="0.25">
      <c r="B78" t="s">
        <v>484</v>
      </c>
      <c r="C78" t="s">
        <v>271</v>
      </c>
      <c r="D78" s="90">
        <v>1</v>
      </c>
      <c r="E78" s="90">
        <v>1</v>
      </c>
      <c r="F78" s="90">
        <v>1</v>
      </c>
      <c r="G78" s="90">
        <v>1</v>
      </c>
      <c r="H78" s="90">
        <v>1</v>
      </c>
      <c r="I78" s="90">
        <v>1</v>
      </c>
      <c r="J78" s="90">
        <v>1</v>
      </c>
      <c r="K78" s="90">
        <v>1</v>
      </c>
      <c r="L78" s="90">
        <v>1</v>
      </c>
      <c r="M78" s="90">
        <v>1</v>
      </c>
      <c r="N78" s="90">
        <v>1</v>
      </c>
      <c r="O78" s="90">
        <v>1</v>
      </c>
    </row>
    <row r="79" spans="2:15" x14ac:dyDescent="0.25">
      <c r="B79" s="8"/>
      <c r="C79" s="8" t="s">
        <v>296</v>
      </c>
      <c r="D79" s="90">
        <v>1</v>
      </c>
      <c r="E79" s="90">
        <v>1</v>
      </c>
      <c r="F79" s="90">
        <v>1</v>
      </c>
      <c r="G79" s="90">
        <v>1</v>
      </c>
      <c r="H79" s="90">
        <v>1</v>
      </c>
      <c r="I79" s="90">
        <v>1</v>
      </c>
      <c r="J79" s="90">
        <v>1</v>
      </c>
      <c r="K79" s="90">
        <v>1</v>
      </c>
      <c r="L79" s="90">
        <v>1</v>
      </c>
      <c r="M79" s="90">
        <v>1</v>
      </c>
      <c r="N79" s="90">
        <v>1</v>
      </c>
      <c r="O79" s="90">
        <v>1</v>
      </c>
    </row>
    <row r="80" spans="2:15" x14ac:dyDescent="0.25">
      <c r="B80" s="8"/>
      <c r="C80" s="8" t="s">
        <v>266</v>
      </c>
      <c r="D80" s="90">
        <v>0.5</v>
      </c>
      <c r="E80" s="90">
        <v>0.5</v>
      </c>
      <c r="F80" s="90">
        <v>0.5</v>
      </c>
      <c r="G80" s="90">
        <v>0.5</v>
      </c>
      <c r="H80" s="90">
        <v>0.5</v>
      </c>
      <c r="I80" s="90">
        <v>0.5</v>
      </c>
      <c r="J80" s="90">
        <v>0.5</v>
      </c>
      <c r="K80" s="90">
        <v>0.5</v>
      </c>
      <c r="L80" s="90">
        <v>0.5</v>
      </c>
      <c r="M80" s="90">
        <v>0.5</v>
      </c>
      <c r="N80" s="90">
        <v>0.5</v>
      </c>
      <c r="O80" s="90">
        <v>0.5</v>
      </c>
    </row>
    <row r="81" spans="1:15" x14ac:dyDescent="0.25">
      <c r="B81" s="8"/>
      <c r="C81" s="8" t="s">
        <v>308</v>
      </c>
      <c r="D81" s="57">
        <v>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</row>
    <row r="82" spans="1:15" x14ac:dyDescent="0.25">
      <c r="B82" s="8"/>
      <c r="C82" s="8" t="s">
        <v>507</v>
      </c>
      <c r="D82" s="57">
        <v>0.25</v>
      </c>
      <c r="E82" s="57">
        <v>0.25</v>
      </c>
      <c r="F82" s="57">
        <v>0.25</v>
      </c>
      <c r="G82" s="57">
        <v>0.25</v>
      </c>
      <c r="H82" s="57">
        <v>0.25</v>
      </c>
      <c r="I82" s="57">
        <v>0.25</v>
      </c>
      <c r="J82" s="57">
        <v>0.25</v>
      </c>
      <c r="K82" s="57">
        <v>0.25</v>
      </c>
      <c r="L82" s="57">
        <v>0.25</v>
      </c>
      <c r="M82" s="57">
        <v>0.25</v>
      </c>
      <c r="N82" s="57">
        <v>0.25</v>
      </c>
      <c r="O82" s="57">
        <v>0.25</v>
      </c>
    </row>
    <row r="83" spans="1:15" x14ac:dyDescent="0.25">
      <c r="A83" t="s">
        <v>517</v>
      </c>
      <c r="B83" s="1" t="s">
        <v>481</v>
      </c>
      <c r="C83" t="s">
        <v>271</v>
      </c>
      <c r="D83" s="90">
        <v>1</v>
      </c>
      <c r="E83" s="90">
        <v>1</v>
      </c>
      <c r="F83" s="90">
        <v>1</v>
      </c>
      <c r="G83" s="90">
        <v>1</v>
      </c>
      <c r="H83" s="90">
        <v>1</v>
      </c>
      <c r="I83" s="90">
        <v>1</v>
      </c>
      <c r="J83" s="90">
        <v>1</v>
      </c>
      <c r="K83" s="90">
        <v>1</v>
      </c>
      <c r="L83" s="90">
        <v>1</v>
      </c>
      <c r="M83" s="90">
        <v>1</v>
      </c>
      <c r="N83" s="90">
        <v>1</v>
      </c>
      <c r="O83" s="90">
        <v>1</v>
      </c>
    </row>
    <row r="84" spans="1:15" x14ac:dyDescent="0.25">
      <c r="B84" s="1"/>
      <c r="C84" s="8" t="s">
        <v>296</v>
      </c>
      <c r="D84" s="90">
        <v>1</v>
      </c>
      <c r="E84" s="90">
        <v>1</v>
      </c>
      <c r="F84" s="90">
        <v>1</v>
      </c>
      <c r="G84" s="90">
        <v>1</v>
      </c>
      <c r="H84" s="90">
        <v>1</v>
      </c>
      <c r="I84" s="90">
        <v>1</v>
      </c>
      <c r="J84" s="90">
        <v>1</v>
      </c>
      <c r="K84" s="90">
        <v>1</v>
      </c>
      <c r="L84" s="90">
        <v>1</v>
      </c>
      <c r="M84" s="90">
        <v>1</v>
      </c>
      <c r="N84" s="90">
        <v>1</v>
      </c>
      <c r="O84" s="90">
        <v>1</v>
      </c>
    </row>
    <row r="85" spans="1:15" x14ac:dyDescent="0.25">
      <c r="B85" s="1"/>
      <c r="C85" s="8" t="s">
        <v>266</v>
      </c>
      <c r="D85" s="90">
        <v>0.5</v>
      </c>
      <c r="E85" s="90">
        <v>0.5</v>
      </c>
      <c r="F85" s="90">
        <v>0.5</v>
      </c>
      <c r="G85" s="90">
        <v>0.5</v>
      </c>
      <c r="H85" s="90">
        <v>0.5</v>
      </c>
      <c r="I85" s="90">
        <v>0.5</v>
      </c>
      <c r="J85" s="90">
        <v>0.5</v>
      </c>
      <c r="K85" s="90">
        <v>0.5</v>
      </c>
      <c r="L85" s="90">
        <v>0.5</v>
      </c>
      <c r="M85" s="90">
        <v>0.5</v>
      </c>
      <c r="N85" s="90">
        <v>0.5</v>
      </c>
      <c r="O85" s="90">
        <v>0.5</v>
      </c>
    </row>
    <row r="86" spans="1:15" x14ac:dyDescent="0.25">
      <c r="B86" s="1"/>
      <c r="C86" s="8" t="s">
        <v>308</v>
      </c>
      <c r="D86" s="8">
        <f>D$14*D26</f>
        <v>0.67500000000000004</v>
      </c>
      <c r="E86" s="8">
        <f>E$14*E26</f>
        <v>0.67500000000000004</v>
      </c>
      <c r="F86" s="8">
        <f t="shared" ref="F86:O86" si="0">F$14*F26</f>
        <v>0.67500000000000004</v>
      </c>
      <c r="G86" s="8">
        <f t="shared" si="0"/>
        <v>0.22500000000000001</v>
      </c>
      <c r="H86" s="8">
        <f t="shared" si="0"/>
        <v>0.22500000000000001</v>
      </c>
      <c r="I86" s="8">
        <f t="shared" si="0"/>
        <v>0.22500000000000001</v>
      </c>
      <c r="J86" s="8">
        <f t="shared" si="0"/>
        <v>0.22500000000000001</v>
      </c>
      <c r="K86" s="8">
        <f t="shared" si="0"/>
        <v>0.22500000000000001</v>
      </c>
      <c r="L86" s="8">
        <f t="shared" si="0"/>
        <v>0.22500000000000001</v>
      </c>
      <c r="M86" s="8">
        <f t="shared" si="0"/>
        <v>0.67500000000000004</v>
      </c>
      <c r="N86" s="8">
        <f t="shared" si="0"/>
        <v>0.67500000000000004</v>
      </c>
      <c r="O86" s="8">
        <f t="shared" si="0"/>
        <v>0.67500000000000004</v>
      </c>
    </row>
    <row r="87" spans="1:15" x14ac:dyDescent="0.25">
      <c r="B87" s="1"/>
      <c r="C87" s="8" t="s">
        <v>507</v>
      </c>
      <c r="D87" s="8">
        <f>D$14*D27</f>
        <v>0.44999999999999996</v>
      </c>
      <c r="E87" s="8">
        <f>E$14*E27</f>
        <v>0.44999999999999996</v>
      </c>
      <c r="F87" s="8">
        <f t="shared" ref="F87:O87" si="1">F$14*F27</f>
        <v>0.44999999999999996</v>
      </c>
      <c r="G87" s="8">
        <f t="shared" si="1"/>
        <v>0.15</v>
      </c>
      <c r="H87" s="8">
        <f t="shared" si="1"/>
        <v>0.15</v>
      </c>
      <c r="I87" s="8">
        <f t="shared" si="1"/>
        <v>0.15</v>
      </c>
      <c r="J87" s="8">
        <f t="shared" si="1"/>
        <v>0.15</v>
      </c>
      <c r="K87" s="8">
        <f t="shared" si="1"/>
        <v>0.15</v>
      </c>
      <c r="L87" s="8">
        <f t="shared" si="1"/>
        <v>0.15</v>
      </c>
      <c r="M87" s="8">
        <f t="shared" si="1"/>
        <v>0.44999999999999996</v>
      </c>
      <c r="N87" s="8">
        <f t="shared" si="1"/>
        <v>0.44999999999999996</v>
      </c>
      <c r="O87" s="8">
        <f t="shared" si="1"/>
        <v>0.44999999999999996</v>
      </c>
    </row>
    <row r="88" spans="1:15" x14ac:dyDescent="0.25">
      <c r="B88" t="s">
        <v>232</v>
      </c>
      <c r="C88" t="s">
        <v>271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  <c r="I88" s="90">
        <v>1</v>
      </c>
      <c r="J88" s="90">
        <v>1</v>
      </c>
      <c r="K88" s="90">
        <v>1</v>
      </c>
      <c r="L88" s="90">
        <v>1</v>
      </c>
      <c r="M88" s="90">
        <v>1</v>
      </c>
      <c r="N88" s="90">
        <v>1</v>
      </c>
      <c r="O88" s="90">
        <v>1</v>
      </c>
    </row>
    <row r="89" spans="1:15" x14ac:dyDescent="0.25">
      <c r="C89" s="8" t="s">
        <v>296</v>
      </c>
      <c r="D89" s="90">
        <v>1</v>
      </c>
      <c r="E89" s="90">
        <v>1</v>
      </c>
      <c r="F89" s="90">
        <v>1</v>
      </c>
      <c r="G89" s="90">
        <v>1</v>
      </c>
      <c r="H89" s="90">
        <v>1</v>
      </c>
      <c r="I89" s="90">
        <v>1</v>
      </c>
      <c r="J89" s="90">
        <v>1</v>
      </c>
      <c r="K89" s="90">
        <v>1</v>
      </c>
      <c r="L89" s="90">
        <v>1</v>
      </c>
      <c r="M89" s="90">
        <v>1</v>
      </c>
      <c r="N89" s="90">
        <v>1</v>
      </c>
      <c r="O89" s="90">
        <v>1</v>
      </c>
    </row>
    <row r="90" spans="1:15" x14ac:dyDescent="0.25">
      <c r="C90" s="8" t="s">
        <v>266</v>
      </c>
      <c r="D90" s="90">
        <v>0.5</v>
      </c>
      <c r="E90" s="90">
        <v>0.5</v>
      </c>
      <c r="F90" s="90">
        <v>0.5</v>
      </c>
      <c r="G90" s="90">
        <v>0.5</v>
      </c>
      <c r="H90" s="90">
        <v>0.5</v>
      </c>
      <c r="I90" s="90">
        <v>0.5</v>
      </c>
      <c r="J90" s="90">
        <v>0.5</v>
      </c>
      <c r="K90" s="90">
        <v>0.5</v>
      </c>
      <c r="L90" s="90">
        <v>0.5</v>
      </c>
      <c r="M90" s="90">
        <v>0.5</v>
      </c>
      <c r="N90" s="90">
        <v>0.5</v>
      </c>
      <c r="O90" s="90">
        <v>0.5</v>
      </c>
    </row>
    <row r="91" spans="1:15" x14ac:dyDescent="0.25">
      <c r="C91" s="8" t="s">
        <v>308</v>
      </c>
      <c r="D91" s="8">
        <f>D$14*D31</f>
        <v>0</v>
      </c>
      <c r="E91" s="8">
        <f>E$14*E31</f>
        <v>0</v>
      </c>
      <c r="F91" s="8">
        <f t="shared" ref="F91:O91" si="2">F$14*F31</f>
        <v>0</v>
      </c>
      <c r="G91" s="8">
        <f t="shared" si="2"/>
        <v>0</v>
      </c>
      <c r="H91" s="8">
        <f t="shared" si="2"/>
        <v>0</v>
      </c>
      <c r="I91" s="8">
        <f t="shared" si="2"/>
        <v>0</v>
      </c>
      <c r="J91" s="8">
        <f t="shared" si="2"/>
        <v>0</v>
      </c>
      <c r="K91" s="8">
        <f t="shared" si="2"/>
        <v>0</v>
      </c>
      <c r="L91" s="8">
        <f t="shared" si="2"/>
        <v>0</v>
      </c>
      <c r="M91" s="8">
        <f t="shared" si="2"/>
        <v>0</v>
      </c>
      <c r="N91" s="8">
        <f t="shared" si="2"/>
        <v>0</v>
      </c>
      <c r="O91" s="8">
        <f t="shared" si="2"/>
        <v>0</v>
      </c>
    </row>
    <row r="92" spans="1:15" x14ac:dyDescent="0.25">
      <c r="C92" s="8" t="s">
        <v>507</v>
      </c>
      <c r="D92" s="8">
        <f>D$14*D32</f>
        <v>0.67500000000000004</v>
      </c>
      <c r="E92" s="8">
        <f>E$14*E32</f>
        <v>0.67500000000000004</v>
      </c>
      <c r="F92" s="8">
        <f t="shared" ref="F92:O92" si="3">F$14*F32</f>
        <v>0.67500000000000004</v>
      </c>
      <c r="G92" s="8">
        <f t="shared" si="3"/>
        <v>0.22500000000000001</v>
      </c>
      <c r="H92" s="8">
        <f t="shared" si="3"/>
        <v>0.22500000000000001</v>
      </c>
      <c r="I92" s="8">
        <f t="shared" si="3"/>
        <v>0.22500000000000001</v>
      </c>
      <c r="J92" s="8">
        <f t="shared" si="3"/>
        <v>0.22500000000000001</v>
      </c>
      <c r="K92" s="8">
        <f t="shared" si="3"/>
        <v>0.22500000000000001</v>
      </c>
      <c r="L92" s="8">
        <f t="shared" si="3"/>
        <v>0.22500000000000001</v>
      </c>
      <c r="M92" s="8">
        <f t="shared" si="3"/>
        <v>0.67500000000000004</v>
      </c>
      <c r="N92" s="8">
        <f t="shared" si="3"/>
        <v>0.67500000000000004</v>
      </c>
      <c r="O92" s="8">
        <f t="shared" si="3"/>
        <v>0.67500000000000004</v>
      </c>
    </row>
    <row r="93" spans="1:15" x14ac:dyDescent="0.25">
      <c r="B93" s="8" t="s">
        <v>482</v>
      </c>
      <c r="C93" t="s">
        <v>271</v>
      </c>
      <c r="D93" s="90">
        <v>1</v>
      </c>
      <c r="E93" s="90">
        <v>1</v>
      </c>
      <c r="F93" s="90">
        <v>1</v>
      </c>
      <c r="G93" s="90">
        <v>1</v>
      </c>
      <c r="H93" s="90">
        <v>1</v>
      </c>
      <c r="I93" s="90">
        <v>1</v>
      </c>
      <c r="J93" s="90">
        <v>1</v>
      </c>
      <c r="K93" s="90">
        <v>1</v>
      </c>
      <c r="L93" s="90">
        <v>1</v>
      </c>
      <c r="M93" s="90">
        <v>1</v>
      </c>
      <c r="N93" s="90">
        <v>1</v>
      </c>
      <c r="O93" s="90">
        <v>1</v>
      </c>
    </row>
    <row r="94" spans="1:15" x14ac:dyDescent="0.25">
      <c r="B94" s="8"/>
      <c r="C94" s="8" t="s">
        <v>296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  <c r="I94" s="90">
        <v>1</v>
      </c>
      <c r="J94" s="90">
        <v>1</v>
      </c>
      <c r="K94" s="90">
        <v>1</v>
      </c>
      <c r="L94" s="90">
        <v>1</v>
      </c>
      <c r="M94" s="90">
        <v>1</v>
      </c>
      <c r="N94" s="90">
        <v>1</v>
      </c>
      <c r="O94" s="90">
        <v>1</v>
      </c>
    </row>
    <row r="95" spans="1:15" x14ac:dyDescent="0.25">
      <c r="B95" s="8"/>
      <c r="C95" s="8" t="s">
        <v>266</v>
      </c>
      <c r="D95" s="90">
        <v>0.5</v>
      </c>
      <c r="E95" s="90">
        <v>0.5</v>
      </c>
      <c r="F95" s="90">
        <v>0.5</v>
      </c>
      <c r="G95" s="90">
        <v>0.5</v>
      </c>
      <c r="H95" s="90">
        <v>0.5</v>
      </c>
      <c r="I95" s="90">
        <v>0.5</v>
      </c>
      <c r="J95" s="90">
        <v>0.5</v>
      </c>
      <c r="K95" s="90">
        <v>0.5</v>
      </c>
      <c r="L95" s="90">
        <v>0.5</v>
      </c>
      <c r="M95" s="90">
        <v>0.5</v>
      </c>
      <c r="N95" s="90">
        <v>0.5</v>
      </c>
      <c r="O95" s="90">
        <v>0.5</v>
      </c>
    </row>
    <row r="96" spans="1:15" x14ac:dyDescent="0.25">
      <c r="B96" s="8"/>
      <c r="C96" s="8" t="s">
        <v>308</v>
      </c>
      <c r="D96" s="8">
        <f>D$14*D36</f>
        <v>0</v>
      </c>
      <c r="E96" s="8">
        <f>E$14*E36</f>
        <v>0</v>
      </c>
      <c r="F96" s="8">
        <f t="shared" ref="F96:O96" si="4">F$14*F36</f>
        <v>0</v>
      </c>
      <c r="G96" s="8">
        <f t="shared" si="4"/>
        <v>0</v>
      </c>
      <c r="H96" s="8">
        <f t="shared" si="4"/>
        <v>0</v>
      </c>
      <c r="I96" s="8">
        <f t="shared" si="4"/>
        <v>0</v>
      </c>
      <c r="J96" s="8">
        <f t="shared" si="4"/>
        <v>0</v>
      </c>
      <c r="K96" s="8">
        <f t="shared" si="4"/>
        <v>0</v>
      </c>
      <c r="L96" s="8">
        <f t="shared" si="4"/>
        <v>0</v>
      </c>
      <c r="M96" s="8">
        <f t="shared" si="4"/>
        <v>0</v>
      </c>
      <c r="N96" s="8">
        <f t="shared" si="4"/>
        <v>0</v>
      </c>
      <c r="O96" s="8">
        <f t="shared" si="4"/>
        <v>0</v>
      </c>
    </row>
    <row r="97" spans="1:15" x14ac:dyDescent="0.25">
      <c r="B97" s="8"/>
      <c r="C97" s="8" t="s">
        <v>507</v>
      </c>
      <c r="D97" s="8">
        <f>D$14*D37</f>
        <v>0.57000000000000006</v>
      </c>
      <c r="E97" s="8">
        <f>E$14*E37</f>
        <v>0.57000000000000006</v>
      </c>
      <c r="F97" s="8">
        <f t="shared" ref="F97:O97" si="5">F$14*F37</f>
        <v>0.57000000000000006</v>
      </c>
      <c r="G97" s="8">
        <f t="shared" si="5"/>
        <v>0.19</v>
      </c>
      <c r="H97" s="8">
        <f t="shared" si="5"/>
        <v>0.19</v>
      </c>
      <c r="I97" s="8">
        <f t="shared" si="5"/>
        <v>0.19</v>
      </c>
      <c r="J97" s="8">
        <f t="shared" si="5"/>
        <v>0.19</v>
      </c>
      <c r="K97" s="8">
        <f t="shared" si="5"/>
        <v>0.19</v>
      </c>
      <c r="L97" s="8">
        <f t="shared" si="5"/>
        <v>0.19</v>
      </c>
      <c r="M97" s="8">
        <f t="shared" si="5"/>
        <v>0.57000000000000006</v>
      </c>
      <c r="N97" s="8">
        <f t="shared" si="5"/>
        <v>0.57000000000000006</v>
      </c>
      <c r="O97" s="8">
        <f t="shared" si="5"/>
        <v>0.57000000000000006</v>
      </c>
    </row>
    <row r="98" spans="1:15" x14ac:dyDescent="0.25">
      <c r="A98" t="s">
        <v>516</v>
      </c>
      <c r="B98" s="1" t="s">
        <v>481</v>
      </c>
      <c r="C98" t="s">
        <v>271</v>
      </c>
      <c r="D98" s="90">
        <v>1</v>
      </c>
      <c r="E98" s="90">
        <v>1</v>
      </c>
      <c r="F98" s="90">
        <v>1</v>
      </c>
      <c r="G98" s="90">
        <v>1</v>
      </c>
      <c r="H98" s="90">
        <v>1</v>
      </c>
      <c r="I98" s="90">
        <v>1</v>
      </c>
      <c r="J98" s="90">
        <v>1</v>
      </c>
      <c r="K98" s="90">
        <v>1</v>
      </c>
      <c r="L98" s="90">
        <v>1</v>
      </c>
      <c r="M98" s="90">
        <v>1</v>
      </c>
      <c r="N98" s="90">
        <v>1</v>
      </c>
      <c r="O98" s="90">
        <v>1</v>
      </c>
    </row>
    <row r="99" spans="1:15" x14ac:dyDescent="0.25">
      <c r="B99" s="1"/>
      <c r="C99" s="8" t="s">
        <v>296</v>
      </c>
      <c r="D99" s="90">
        <v>1</v>
      </c>
      <c r="E99" s="90">
        <v>1</v>
      </c>
      <c r="F99" s="90">
        <v>1</v>
      </c>
      <c r="G99" s="90">
        <v>1</v>
      </c>
      <c r="H99" s="90">
        <v>1</v>
      </c>
      <c r="I99" s="90">
        <v>1</v>
      </c>
      <c r="J99" s="90">
        <v>1</v>
      </c>
      <c r="K99" s="90">
        <v>1</v>
      </c>
      <c r="L99" s="90">
        <v>1</v>
      </c>
      <c r="M99" s="90">
        <v>1</v>
      </c>
      <c r="N99" s="90">
        <v>1</v>
      </c>
      <c r="O99" s="90">
        <v>1</v>
      </c>
    </row>
    <row r="100" spans="1:15" x14ac:dyDescent="0.25">
      <c r="B100" s="1"/>
      <c r="C100" s="8" t="s">
        <v>266</v>
      </c>
      <c r="D100" s="90">
        <v>0.5</v>
      </c>
      <c r="E100" s="90">
        <v>0.5</v>
      </c>
      <c r="F100" s="90">
        <v>0.5</v>
      </c>
      <c r="G100" s="90">
        <v>0.5</v>
      </c>
      <c r="H100" s="90">
        <v>0.5</v>
      </c>
      <c r="I100" s="90">
        <v>0.5</v>
      </c>
      <c r="J100" s="90">
        <v>0.5</v>
      </c>
      <c r="K100" s="90">
        <v>0.5</v>
      </c>
      <c r="L100" s="90">
        <v>0.5</v>
      </c>
      <c r="M100" s="90">
        <v>0.5</v>
      </c>
      <c r="N100" s="90">
        <v>0.5</v>
      </c>
      <c r="O100" s="90">
        <v>0.5</v>
      </c>
    </row>
    <row r="101" spans="1:15" x14ac:dyDescent="0.25">
      <c r="B101" s="1"/>
      <c r="C101" s="8" t="s">
        <v>308</v>
      </c>
      <c r="D101" s="8">
        <f>D$15*D26</f>
        <v>0.22500000000000001</v>
      </c>
      <c r="E101" s="8">
        <f t="shared" ref="E101:O101" si="6">E$15*E26</f>
        <v>0.22500000000000001</v>
      </c>
      <c r="F101" s="8">
        <f t="shared" si="6"/>
        <v>0.22500000000000001</v>
      </c>
      <c r="G101" s="8">
        <f t="shared" si="6"/>
        <v>0.67500000000000004</v>
      </c>
      <c r="H101" s="8">
        <f t="shared" si="6"/>
        <v>0.67500000000000004</v>
      </c>
      <c r="I101" s="8">
        <f t="shared" si="6"/>
        <v>0.67500000000000004</v>
      </c>
      <c r="J101" s="8">
        <f t="shared" si="6"/>
        <v>0.67500000000000004</v>
      </c>
      <c r="K101" s="8">
        <f t="shared" si="6"/>
        <v>0.67500000000000004</v>
      </c>
      <c r="L101" s="8">
        <f t="shared" si="6"/>
        <v>0.67500000000000004</v>
      </c>
      <c r="M101" s="8">
        <f t="shared" si="6"/>
        <v>0.22500000000000001</v>
      </c>
      <c r="N101" s="8">
        <f t="shared" si="6"/>
        <v>0.22500000000000001</v>
      </c>
      <c r="O101" s="8">
        <f t="shared" si="6"/>
        <v>0.22500000000000001</v>
      </c>
    </row>
    <row r="102" spans="1:15" x14ac:dyDescent="0.25">
      <c r="B102" s="1"/>
      <c r="C102" s="8" t="s">
        <v>507</v>
      </c>
      <c r="D102" s="8">
        <f>D$15*D27</f>
        <v>0.15</v>
      </c>
      <c r="E102" s="8">
        <f t="shared" ref="E102:O102" si="7">E$15*E27</f>
        <v>0.15</v>
      </c>
      <c r="F102" s="8">
        <f t="shared" si="7"/>
        <v>0.15</v>
      </c>
      <c r="G102" s="8">
        <f t="shared" si="7"/>
        <v>0.44999999999999996</v>
      </c>
      <c r="H102" s="8">
        <f t="shared" si="7"/>
        <v>0.44999999999999996</v>
      </c>
      <c r="I102" s="8">
        <f t="shared" si="7"/>
        <v>0.44999999999999996</v>
      </c>
      <c r="J102" s="8">
        <f t="shared" si="7"/>
        <v>0.44999999999999996</v>
      </c>
      <c r="K102" s="8">
        <f t="shared" si="7"/>
        <v>0.44999999999999996</v>
      </c>
      <c r="L102" s="8">
        <f t="shared" si="7"/>
        <v>0.44999999999999996</v>
      </c>
      <c r="M102" s="8">
        <f t="shared" si="7"/>
        <v>0.15</v>
      </c>
      <c r="N102" s="8">
        <f t="shared" si="7"/>
        <v>0.15</v>
      </c>
      <c r="O102" s="8">
        <f t="shared" si="7"/>
        <v>0.15</v>
      </c>
    </row>
    <row r="103" spans="1:15" x14ac:dyDescent="0.25">
      <c r="B103" t="s">
        <v>232</v>
      </c>
      <c r="C103" t="s">
        <v>271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  <c r="I103" s="90">
        <v>1</v>
      </c>
      <c r="J103" s="90">
        <v>1</v>
      </c>
      <c r="K103" s="90">
        <v>1</v>
      </c>
      <c r="L103" s="90">
        <v>1</v>
      </c>
      <c r="M103" s="90">
        <v>1</v>
      </c>
      <c r="N103" s="90">
        <v>1</v>
      </c>
      <c r="O103" s="90">
        <v>1</v>
      </c>
    </row>
    <row r="104" spans="1:15" x14ac:dyDescent="0.25">
      <c r="C104" s="8" t="s">
        <v>296</v>
      </c>
      <c r="D104" s="90">
        <v>1</v>
      </c>
      <c r="E104" s="90">
        <v>1</v>
      </c>
      <c r="F104" s="90">
        <v>1</v>
      </c>
      <c r="G104" s="90">
        <v>1</v>
      </c>
      <c r="H104" s="90">
        <v>1</v>
      </c>
      <c r="I104" s="90">
        <v>1</v>
      </c>
      <c r="J104" s="90">
        <v>1</v>
      </c>
      <c r="K104" s="90">
        <v>1</v>
      </c>
      <c r="L104" s="90">
        <v>1</v>
      </c>
      <c r="M104" s="90">
        <v>1</v>
      </c>
      <c r="N104" s="90">
        <v>1</v>
      </c>
      <c r="O104" s="90">
        <v>1</v>
      </c>
    </row>
    <row r="105" spans="1:15" x14ac:dyDescent="0.25">
      <c r="C105" s="8" t="s">
        <v>266</v>
      </c>
      <c r="D105" s="90">
        <v>0.5</v>
      </c>
      <c r="E105" s="90">
        <v>0.5</v>
      </c>
      <c r="F105" s="90">
        <v>0.5</v>
      </c>
      <c r="G105" s="90">
        <v>0.5</v>
      </c>
      <c r="H105" s="90">
        <v>0.5</v>
      </c>
      <c r="I105" s="90">
        <v>0.5</v>
      </c>
      <c r="J105" s="90">
        <v>0.5</v>
      </c>
      <c r="K105" s="90">
        <v>0.5</v>
      </c>
      <c r="L105" s="90">
        <v>0.5</v>
      </c>
      <c r="M105" s="90">
        <v>0.5</v>
      </c>
      <c r="N105" s="90">
        <v>0.5</v>
      </c>
      <c r="O105" s="90">
        <v>0.5</v>
      </c>
    </row>
    <row r="106" spans="1:15" x14ac:dyDescent="0.25">
      <c r="C106" s="8" t="s">
        <v>308</v>
      </c>
      <c r="D106" s="8">
        <f>D$15*D31</f>
        <v>0</v>
      </c>
      <c r="E106" s="8">
        <f t="shared" ref="E106:O106" si="8">E$15*E31</f>
        <v>0</v>
      </c>
      <c r="F106" s="8">
        <f t="shared" si="8"/>
        <v>0</v>
      </c>
      <c r="G106" s="8">
        <f t="shared" si="8"/>
        <v>0</v>
      </c>
      <c r="H106" s="8">
        <f t="shared" si="8"/>
        <v>0</v>
      </c>
      <c r="I106" s="8">
        <f t="shared" si="8"/>
        <v>0</v>
      </c>
      <c r="J106" s="8">
        <f t="shared" si="8"/>
        <v>0</v>
      </c>
      <c r="K106" s="8">
        <f t="shared" si="8"/>
        <v>0</v>
      </c>
      <c r="L106" s="8">
        <f t="shared" si="8"/>
        <v>0</v>
      </c>
      <c r="M106" s="8">
        <f t="shared" si="8"/>
        <v>0</v>
      </c>
      <c r="N106" s="8">
        <f t="shared" si="8"/>
        <v>0</v>
      </c>
      <c r="O106" s="8">
        <f t="shared" si="8"/>
        <v>0</v>
      </c>
    </row>
    <row r="107" spans="1:15" x14ac:dyDescent="0.25">
      <c r="C107" s="8" t="s">
        <v>507</v>
      </c>
      <c r="D107" s="8">
        <f>D$15*D32</f>
        <v>0.22500000000000001</v>
      </c>
      <c r="E107" s="8">
        <f t="shared" ref="E107:O107" si="9">E$15*E32</f>
        <v>0.22500000000000001</v>
      </c>
      <c r="F107" s="8">
        <f t="shared" si="9"/>
        <v>0.22500000000000001</v>
      </c>
      <c r="G107" s="8">
        <f t="shared" si="9"/>
        <v>0.67500000000000004</v>
      </c>
      <c r="H107" s="8">
        <f t="shared" si="9"/>
        <v>0.67500000000000004</v>
      </c>
      <c r="I107" s="8">
        <f t="shared" si="9"/>
        <v>0.67500000000000004</v>
      </c>
      <c r="J107" s="8">
        <f t="shared" si="9"/>
        <v>0.67500000000000004</v>
      </c>
      <c r="K107" s="8">
        <f t="shared" si="9"/>
        <v>0.67500000000000004</v>
      </c>
      <c r="L107" s="8">
        <f t="shared" si="9"/>
        <v>0.67500000000000004</v>
      </c>
      <c r="M107" s="8">
        <f t="shared" si="9"/>
        <v>0.22500000000000001</v>
      </c>
      <c r="N107" s="8">
        <f t="shared" si="9"/>
        <v>0.22500000000000001</v>
      </c>
      <c r="O107" s="8">
        <f t="shared" si="9"/>
        <v>0.22500000000000001</v>
      </c>
    </row>
    <row r="108" spans="1:15" x14ac:dyDescent="0.25">
      <c r="B108" s="8" t="s">
        <v>482</v>
      </c>
      <c r="C108" t="s">
        <v>271</v>
      </c>
      <c r="D108" s="90">
        <v>1</v>
      </c>
      <c r="E108" s="90">
        <v>1</v>
      </c>
      <c r="F108" s="90">
        <v>1</v>
      </c>
      <c r="G108" s="90">
        <v>1</v>
      </c>
      <c r="H108" s="90">
        <v>1</v>
      </c>
      <c r="I108" s="90">
        <v>1</v>
      </c>
      <c r="J108" s="90">
        <v>1</v>
      </c>
      <c r="K108" s="90">
        <v>1</v>
      </c>
      <c r="L108" s="90">
        <v>1</v>
      </c>
      <c r="M108" s="90">
        <v>1</v>
      </c>
      <c r="N108" s="90">
        <v>1</v>
      </c>
      <c r="O108" s="90">
        <v>1</v>
      </c>
    </row>
    <row r="109" spans="1:15" x14ac:dyDescent="0.25">
      <c r="B109" s="8"/>
      <c r="C109" s="8" t="s">
        <v>296</v>
      </c>
      <c r="D109" s="90">
        <v>1</v>
      </c>
      <c r="E109" s="90">
        <v>1</v>
      </c>
      <c r="F109" s="90">
        <v>1</v>
      </c>
      <c r="G109" s="90">
        <v>1</v>
      </c>
      <c r="H109" s="90">
        <v>1</v>
      </c>
      <c r="I109" s="90">
        <v>1</v>
      </c>
      <c r="J109" s="90">
        <v>1</v>
      </c>
      <c r="K109" s="90">
        <v>1</v>
      </c>
      <c r="L109" s="90">
        <v>1</v>
      </c>
      <c r="M109" s="90">
        <v>1</v>
      </c>
      <c r="N109" s="90">
        <v>1</v>
      </c>
      <c r="O109" s="90">
        <v>1</v>
      </c>
    </row>
    <row r="110" spans="1:15" x14ac:dyDescent="0.25">
      <c r="B110" s="8"/>
      <c r="C110" s="8" t="s">
        <v>266</v>
      </c>
      <c r="D110" s="90">
        <v>0.5</v>
      </c>
      <c r="E110" s="90">
        <v>0.5</v>
      </c>
      <c r="F110" s="90">
        <v>0.5</v>
      </c>
      <c r="G110" s="90">
        <v>0.5</v>
      </c>
      <c r="H110" s="90">
        <v>0.5</v>
      </c>
      <c r="I110" s="90">
        <v>0.5</v>
      </c>
      <c r="J110" s="90">
        <v>0.5</v>
      </c>
      <c r="K110" s="90">
        <v>0.5</v>
      </c>
      <c r="L110" s="90">
        <v>0.5</v>
      </c>
      <c r="M110" s="90">
        <v>0.5</v>
      </c>
      <c r="N110" s="90">
        <v>0.5</v>
      </c>
      <c r="O110" s="90">
        <v>0.5</v>
      </c>
    </row>
    <row r="111" spans="1:15" x14ac:dyDescent="0.25">
      <c r="B111" s="8"/>
      <c r="C111" s="8" t="s">
        <v>308</v>
      </c>
      <c r="D111" s="8">
        <f>D$15*D36</f>
        <v>0</v>
      </c>
      <c r="E111" s="8">
        <f t="shared" ref="E111:O111" si="10">E$15*E36</f>
        <v>0</v>
      </c>
      <c r="F111" s="8">
        <f t="shared" si="10"/>
        <v>0</v>
      </c>
      <c r="G111" s="8">
        <f t="shared" si="10"/>
        <v>0</v>
      </c>
      <c r="H111" s="8">
        <f t="shared" si="10"/>
        <v>0</v>
      </c>
      <c r="I111" s="8">
        <f t="shared" si="10"/>
        <v>0</v>
      </c>
      <c r="J111" s="8">
        <f t="shared" si="10"/>
        <v>0</v>
      </c>
      <c r="K111" s="8">
        <f t="shared" si="10"/>
        <v>0</v>
      </c>
      <c r="L111" s="8">
        <f t="shared" si="10"/>
        <v>0</v>
      </c>
      <c r="M111" s="8">
        <f t="shared" si="10"/>
        <v>0</v>
      </c>
      <c r="N111" s="8">
        <f t="shared" si="10"/>
        <v>0</v>
      </c>
      <c r="O111" s="8">
        <f t="shared" si="10"/>
        <v>0</v>
      </c>
    </row>
    <row r="112" spans="1:15" x14ac:dyDescent="0.25">
      <c r="B112" s="8"/>
      <c r="C112" s="8" t="s">
        <v>507</v>
      </c>
      <c r="D112" s="8">
        <f>D$15*D37</f>
        <v>0.19</v>
      </c>
      <c r="E112" s="8">
        <f t="shared" ref="E112:O112" si="11">E$15*E37</f>
        <v>0.19</v>
      </c>
      <c r="F112" s="8">
        <f t="shared" si="11"/>
        <v>0.19</v>
      </c>
      <c r="G112" s="8">
        <f t="shared" si="11"/>
        <v>0.57000000000000006</v>
      </c>
      <c r="H112" s="8">
        <f t="shared" si="11"/>
        <v>0.57000000000000006</v>
      </c>
      <c r="I112" s="8">
        <f t="shared" si="11"/>
        <v>0.57000000000000006</v>
      </c>
      <c r="J112" s="8">
        <f t="shared" si="11"/>
        <v>0.57000000000000006</v>
      </c>
      <c r="K112" s="8">
        <f t="shared" si="11"/>
        <v>0.57000000000000006</v>
      </c>
      <c r="L112" s="8">
        <f t="shared" si="11"/>
        <v>0.57000000000000006</v>
      </c>
      <c r="M112" s="8">
        <f t="shared" si="11"/>
        <v>0.19</v>
      </c>
      <c r="N112" s="8">
        <f t="shared" si="11"/>
        <v>0.19</v>
      </c>
      <c r="O112" s="8">
        <f t="shared" si="11"/>
        <v>0.19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"/>
  <sheetViews>
    <sheetView showGridLines="0" topLeftCell="A21" zoomScaleNormal="100" workbookViewId="0">
      <selection activeCell="B60" sqref="B60"/>
    </sheetView>
  </sheetViews>
  <sheetFormatPr defaultRowHeight="11.5" x14ac:dyDescent="0.25"/>
  <cols>
    <col min="1" max="1" width="20.08984375" customWidth="1"/>
    <col min="2" max="2" width="13.36328125" customWidth="1"/>
    <col min="3" max="3" width="14.36328125" customWidth="1"/>
    <col min="4" max="4" width="13.08984375" customWidth="1"/>
    <col min="5" max="5" width="14.90625" customWidth="1"/>
    <col min="6" max="6" width="13.08984375" customWidth="1"/>
    <col min="7" max="7" width="11.90625" customWidth="1"/>
  </cols>
  <sheetData>
    <row r="1" spans="1:11" ht="19.5" x14ac:dyDescent="0.35">
      <c r="A1" s="6" t="s">
        <v>513</v>
      </c>
    </row>
    <row r="2" spans="1:11" x14ac:dyDescent="0.25">
      <c r="A2" s="5" t="s">
        <v>8</v>
      </c>
    </row>
    <row r="3" spans="1:11" x14ac:dyDescent="0.25">
      <c r="B3" s="5"/>
    </row>
    <row r="4" spans="1:11" x14ac:dyDescent="0.25">
      <c r="A4" s="40" t="s">
        <v>128</v>
      </c>
      <c r="B4" s="33"/>
      <c r="C4" s="33"/>
      <c r="D4" s="34"/>
      <c r="E4" s="32" t="s">
        <v>130</v>
      </c>
      <c r="F4" s="33"/>
      <c r="G4" s="33"/>
      <c r="H4" s="33"/>
      <c r="I4" s="33"/>
      <c r="J4" s="33"/>
      <c r="K4" s="34"/>
    </row>
    <row r="5" spans="1:11" x14ac:dyDescent="0.25">
      <c r="A5" s="45"/>
      <c r="B5" s="45"/>
      <c r="C5" s="45"/>
      <c r="D5" s="35"/>
      <c r="E5" s="36"/>
      <c r="F5" s="11"/>
      <c r="G5" s="11"/>
      <c r="H5" s="11"/>
      <c r="I5" s="11"/>
      <c r="J5" s="11"/>
      <c r="K5" s="35"/>
    </row>
    <row r="6" spans="1:11" ht="13" x14ac:dyDescent="0.3">
      <c r="A6" s="23" t="s">
        <v>338</v>
      </c>
      <c r="B6" s="11"/>
      <c r="C6" s="11"/>
      <c r="D6" s="35"/>
      <c r="E6" s="8"/>
      <c r="F6" s="11" t="s">
        <v>339</v>
      </c>
      <c r="G6" s="168" t="s">
        <v>244</v>
      </c>
      <c r="H6" s="164" t="s">
        <v>337</v>
      </c>
      <c r="I6" s="163"/>
      <c r="J6" s="163"/>
      <c r="K6" s="35"/>
    </row>
    <row r="7" spans="1:11" ht="13" x14ac:dyDescent="0.3">
      <c r="A7" s="11" t="s">
        <v>341</v>
      </c>
      <c r="B7" s="11"/>
      <c r="C7" s="11"/>
      <c r="D7" s="35"/>
      <c r="E7" s="36"/>
      <c r="F7" s="165" t="s">
        <v>256</v>
      </c>
      <c r="G7" s="165" t="s">
        <v>274</v>
      </c>
      <c r="H7" s="165">
        <v>0.37</v>
      </c>
      <c r="I7" s="165"/>
      <c r="J7" s="165"/>
      <c r="K7" s="35"/>
    </row>
    <row r="8" spans="1:11" ht="13" x14ac:dyDescent="0.3">
      <c r="A8" s="1" t="s">
        <v>340</v>
      </c>
      <c r="B8" s="11"/>
      <c r="C8" s="11"/>
      <c r="D8" s="35"/>
      <c r="E8" s="36"/>
      <c r="F8" s="165" t="s">
        <v>275</v>
      </c>
      <c r="G8" s="165" t="s">
        <v>276</v>
      </c>
      <c r="H8" s="165">
        <v>0.3</v>
      </c>
      <c r="I8" s="166"/>
      <c r="J8" s="166"/>
      <c r="K8" s="35"/>
    </row>
    <row r="9" spans="1:11" ht="13" x14ac:dyDescent="0.3">
      <c r="B9" s="11"/>
      <c r="C9" s="11"/>
      <c r="D9" s="35"/>
      <c r="E9" s="36"/>
      <c r="F9" s="167" t="s">
        <v>266</v>
      </c>
      <c r="G9" s="167" t="s">
        <v>281</v>
      </c>
      <c r="H9" s="167"/>
      <c r="I9" s="166"/>
      <c r="J9" s="166"/>
      <c r="K9" s="35"/>
    </row>
    <row r="10" spans="1:11" ht="13" x14ac:dyDescent="0.3">
      <c r="B10" s="11"/>
      <c r="C10" s="11"/>
      <c r="D10" s="35"/>
      <c r="E10" s="36"/>
      <c r="F10" s="165"/>
      <c r="G10" s="165"/>
      <c r="H10" s="165"/>
      <c r="I10" s="166"/>
      <c r="J10" s="166"/>
      <c r="K10" s="35"/>
    </row>
    <row r="11" spans="1:11" ht="13" x14ac:dyDescent="0.3">
      <c r="A11" s="11" t="s">
        <v>329</v>
      </c>
      <c r="B11" s="11"/>
      <c r="C11" s="11"/>
      <c r="D11" s="35"/>
      <c r="E11" s="36"/>
      <c r="F11" s="165"/>
      <c r="G11" s="168" t="s">
        <v>240</v>
      </c>
      <c r="H11" s="168" t="s">
        <v>246</v>
      </c>
      <c r="I11" s="168" t="s">
        <v>247</v>
      </c>
      <c r="J11" s="168" t="s">
        <v>248</v>
      </c>
      <c r="K11" s="35"/>
    </row>
    <row r="12" spans="1:11" ht="13" x14ac:dyDescent="0.25">
      <c r="A12" s="11" t="s">
        <v>342</v>
      </c>
      <c r="B12" s="11"/>
      <c r="C12" s="11"/>
      <c r="D12" s="35"/>
      <c r="F12" s="168" t="s">
        <v>243</v>
      </c>
      <c r="G12" s="168">
        <v>85</v>
      </c>
      <c r="H12" s="168">
        <v>85</v>
      </c>
      <c r="I12" s="168">
        <v>80</v>
      </c>
      <c r="J12" s="168">
        <v>20</v>
      </c>
      <c r="K12" s="35"/>
    </row>
    <row r="13" spans="1:11" ht="13" x14ac:dyDescent="0.25">
      <c r="A13" s="11"/>
      <c r="B13" s="11"/>
      <c r="C13" s="11"/>
      <c r="D13" s="35"/>
      <c r="F13" s="168" t="s">
        <v>244</v>
      </c>
      <c r="G13" s="168">
        <v>14.3</v>
      </c>
      <c r="H13" s="168">
        <v>13.9</v>
      </c>
      <c r="I13" s="168">
        <v>15</v>
      </c>
      <c r="J13" s="168">
        <v>15</v>
      </c>
      <c r="K13" s="35"/>
    </row>
    <row r="14" spans="1:11" ht="13" x14ac:dyDescent="0.25">
      <c r="A14" s="28" t="s">
        <v>345</v>
      </c>
      <c r="B14" s="1"/>
      <c r="C14" s="1"/>
      <c r="D14" s="35"/>
      <c r="F14" s="168" t="s">
        <v>241</v>
      </c>
      <c r="G14" s="168">
        <v>37</v>
      </c>
      <c r="H14" s="168">
        <v>33</v>
      </c>
      <c r="I14" s="168">
        <v>35</v>
      </c>
      <c r="J14" s="168">
        <v>100</v>
      </c>
      <c r="K14" s="35"/>
    </row>
    <row r="15" spans="1:11" ht="13" x14ac:dyDescent="0.25">
      <c r="A15" s="29" t="s">
        <v>343</v>
      </c>
      <c r="B15" s="11"/>
      <c r="C15" s="11"/>
      <c r="D15" s="35"/>
      <c r="F15" s="168" t="s">
        <v>242</v>
      </c>
      <c r="G15" s="168">
        <v>4</v>
      </c>
      <c r="H15" s="168">
        <v>8</v>
      </c>
      <c r="I15" s="168">
        <v>2</v>
      </c>
      <c r="J15" s="168">
        <v>1</v>
      </c>
      <c r="K15" s="35"/>
    </row>
    <row r="16" spans="1:11" ht="13" x14ac:dyDescent="0.25">
      <c r="A16" s="78"/>
      <c r="B16" s="11"/>
      <c r="C16" s="11"/>
      <c r="D16" s="35"/>
      <c r="F16" s="168" t="s">
        <v>245</v>
      </c>
      <c r="G16" s="168">
        <v>35</v>
      </c>
      <c r="H16" s="168">
        <v>60</v>
      </c>
      <c r="I16" s="168">
        <v>25</v>
      </c>
      <c r="J16" s="168">
        <v>20</v>
      </c>
      <c r="K16" s="35"/>
    </row>
    <row r="17" spans="1:11" x14ac:dyDescent="0.25">
      <c r="B17" s="11"/>
      <c r="C17" s="11"/>
      <c r="D17" s="35"/>
      <c r="J17" s="11"/>
      <c r="K17" s="35"/>
    </row>
    <row r="18" spans="1:11" x14ac:dyDescent="0.25">
      <c r="A18" s="38"/>
      <c r="B18" s="38"/>
      <c r="C18" s="38"/>
      <c r="D18" s="39"/>
      <c r="E18" s="37"/>
      <c r="F18" s="38"/>
      <c r="G18" s="38"/>
      <c r="H18" s="38"/>
      <c r="I18" s="38"/>
      <c r="J18" s="38"/>
      <c r="K18" s="39"/>
    </row>
    <row r="19" spans="1:11" x14ac:dyDescent="0.25">
      <c r="A19" s="5"/>
    </row>
    <row r="20" spans="1:11" ht="28.15" customHeight="1" x14ac:dyDescent="0.25">
      <c r="A20" s="9" t="s">
        <v>25</v>
      </c>
      <c r="B20" s="9" t="s">
        <v>26</v>
      </c>
      <c r="C20" s="9" t="s">
        <v>28</v>
      </c>
      <c r="D20" s="9" t="s">
        <v>29</v>
      </c>
      <c r="E20" s="117" t="s">
        <v>292</v>
      </c>
      <c r="F20" s="117" t="s">
        <v>293</v>
      </c>
      <c r="G20" s="117" t="s">
        <v>294</v>
      </c>
      <c r="H20" s="83"/>
    </row>
    <row r="21" spans="1:11" x14ac:dyDescent="0.25">
      <c r="A21" s="3" t="s">
        <v>3</v>
      </c>
      <c r="B21" s="2" t="s">
        <v>2</v>
      </c>
      <c r="C21" s="2" t="s">
        <v>6</v>
      </c>
      <c r="D21" s="2" t="s">
        <v>376</v>
      </c>
      <c r="E21" s="2"/>
      <c r="F21" s="2" t="s">
        <v>2</v>
      </c>
      <c r="G21" s="2" t="s">
        <v>344</v>
      </c>
      <c r="H21" s="8"/>
    </row>
    <row r="22" spans="1:11" ht="12" thickBot="1" x14ac:dyDescent="0.3">
      <c r="A22" s="50" t="s">
        <v>89</v>
      </c>
      <c r="B22" s="48" t="s">
        <v>201</v>
      </c>
      <c r="C22" s="47" t="s">
        <v>190</v>
      </c>
      <c r="D22" s="47" t="s">
        <v>51</v>
      </c>
      <c r="E22" s="47" t="s">
        <v>202</v>
      </c>
      <c r="F22" s="47" t="s">
        <v>264</v>
      </c>
      <c r="G22" s="59" t="s">
        <v>295</v>
      </c>
      <c r="H22" s="8"/>
    </row>
    <row r="23" spans="1:11" x14ac:dyDescent="0.25">
      <c r="A23" s="1" t="s">
        <v>78</v>
      </c>
      <c r="B23" s="1" t="s">
        <v>66</v>
      </c>
      <c r="C23" s="8">
        <v>1.4999999999999999E-2</v>
      </c>
      <c r="D23" s="101">
        <v>0.37</v>
      </c>
      <c r="E23" s="8" t="s">
        <v>256</v>
      </c>
      <c r="F23" s="1" t="s">
        <v>271</v>
      </c>
      <c r="G23" s="28">
        <v>0.7</v>
      </c>
      <c r="H23" s="16"/>
    </row>
    <row r="24" spans="1:11" x14ac:dyDescent="0.25">
      <c r="A24" t="s">
        <v>79</v>
      </c>
      <c r="B24" t="s">
        <v>59</v>
      </c>
      <c r="C24" s="8">
        <v>0.02</v>
      </c>
      <c r="D24" s="101">
        <v>0.3</v>
      </c>
      <c r="E24" s="8" t="s">
        <v>269</v>
      </c>
      <c r="F24" s="1" t="s">
        <v>296</v>
      </c>
      <c r="G24">
        <v>0.7</v>
      </c>
      <c r="H24" s="16"/>
    </row>
    <row r="25" spans="1:11" x14ac:dyDescent="0.25">
      <c r="A25" t="s">
        <v>80</v>
      </c>
      <c r="B25" t="s">
        <v>65</v>
      </c>
      <c r="C25" s="8">
        <v>0.02</v>
      </c>
      <c r="D25" s="101">
        <v>0.3</v>
      </c>
      <c r="E25" s="8" t="s">
        <v>269</v>
      </c>
      <c r="F25" s="1" t="s">
        <v>296</v>
      </c>
      <c r="G25">
        <v>0.8</v>
      </c>
      <c r="H25" s="16"/>
    </row>
    <row r="26" spans="1:11" x14ac:dyDescent="0.25">
      <c r="A26" t="s">
        <v>156</v>
      </c>
      <c r="B26" t="s">
        <v>65</v>
      </c>
      <c r="C26" s="8">
        <v>6.0000000000000001E-3</v>
      </c>
      <c r="D26" s="8">
        <v>1</v>
      </c>
      <c r="E26" s="8" t="s">
        <v>272</v>
      </c>
      <c r="F26" s="8" t="s">
        <v>266</v>
      </c>
      <c r="G26">
        <v>1</v>
      </c>
      <c r="H26" s="16"/>
    </row>
    <row r="27" spans="1:11" x14ac:dyDescent="0.25">
      <c r="A27" t="s">
        <v>81</v>
      </c>
      <c r="B27" t="s">
        <v>67</v>
      </c>
      <c r="C27" s="8">
        <v>1.4999999999999999E-2</v>
      </c>
      <c r="D27" s="8">
        <v>0.37</v>
      </c>
      <c r="E27" s="8" t="s">
        <v>256</v>
      </c>
      <c r="F27" s="1" t="s">
        <v>271</v>
      </c>
      <c r="G27">
        <v>0.7</v>
      </c>
      <c r="H27" s="16"/>
    </row>
    <row r="28" spans="1:11" x14ac:dyDescent="0.25">
      <c r="A28" s="1" t="s">
        <v>76</v>
      </c>
      <c r="B28" s="1" t="s">
        <v>77</v>
      </c>
      <c r="C28" s="8">
        <v>1.4999999999999999E-2</v>
      </c>
      <c r="D28" s="8">
        <v>0.37</v>
      </c>
      <c r="E28" s="8" t="s">
        <v>256</v>
      </c>
      <c r="F28" s="1" t="s">
        <v>271</v>
      </c>
      <c r="G28">
        <v>0.7</v>
      </c>
      <c r="H28" s="16"/>
    </row>
    <row r="29" spans="1:11" x14ac:dyDescent="0.25">
      <c r="A29" s="8" t="s">
        <v>83</v>
      </c>
      <c r="B29" s="8" t="s">
        <v>68</v>
      </c>
      <c r="C29" s="8">
        <v>1.4999999999999999E-2</v>
      </c>
      <c r="D29" s="8">
        <v>0.37</v>
      </c>
      <c r="E29" s="8" t="s">
        <v>256</v>
      </c>
      <c r="F29" s="1" t="s">
        <v>271</v>
      </c>
      <c r="G29">
        <v>0.7</v>
      </c>
      <c r="H29" s="16"/>
    </row>
    <row r="30" spans="1:11" x14ac:dyDescent="0.25">
      <c r="A30" s="8" t="s">
        <v>155</v>
      </c>
      <c r="B30" s="8" t="s">
        <v>68</v>
      </c>
      <c r="C30" s="8">
        <v>6.0000000000000001E-3</v>
      </c>
      <c r="D30" s="8">
        <v>1</v>
      </c>
      <c r="E30" s="8" t="s">
        <v>272</v>
      </c>
      <c r="F30" s="8" t="s">
        <v>266</v>
      </c>
      <c r="G30">
        <v>0.7</v>
      </c>
      <c r="H30" s="16"/>
    </row>
    <row r="31" spans="1:11" x14ac:dyDescent="0.25">
      <c r="A31" s="8" t="s">
        <v>84</v>
      </c>
      <c r="B31" s="8" t="s">
        <v>69</v>
      </c>
      <c r="C31" s="8">
        <v>0.02</v>
      </c>
      <c r="D31" s="8">
        <v>0.3</v>
      </c>
      <c r="E31" s="8" t="s">
        <v>269</v>
      </c>
      <c r="F31" s="1" t="s">
        <v>296</v>
      </c>
      <c r="G31">
        <v>0.8</v>
      </c>
      <c r="H31" s="16"/>
    </row>
    <row r="32" spans="1:11" x14ac:dyDescent="0.25">
      <c r="A32" s="8" t="s">
        <v>157</v>
      </c>
      <c r="B32" s="8" t="s">
        <v>69</v>
      </c>
      <c r="C32" s="8">
        <v>6.0000000000000001E-3</v>
      </c>
      <c r="D32" s="8">
        <v>1</v>
      </c>
      <c r="E32" s="8" t="s">
        <v>272</v>
      </c>
      <c r="F32" s="8" t="s">
        <v>266</v>
      </c>
      <c r="G32">
        <v>1</v>
      </c>
      <c r="H32" s="16"/>
    </row>
    <row r="33" spans="1:8" x14ac:dyDescent="0.25">
      <c r="A33" s="8" t="s">
        <v>85</v>
      </c>
      <c r="B33" s="8" t="s">
        <v>70</v>
      </c>
      <c r="C33" s="8">
        <v>1.4999999999999999E-2</v>
      </c>
      <c r="D33" s="8">
        <v>0.37</v>
      </c>
      <c r="E33" s="1" t="s">
        <v>256</v>
      </c>
      <c r="F33" s="1" t="s">
        <v>271</v>
      </c>
      <c r="G33" s="1">
        <v>0.7</v>
      </c>
      <c r="H33" s="16"/>
    </row>
    <row r="34" spans="1:8" x14ac:dyDescent="0.25">
      <c r="A34" s="1" t="s">
        <v>535</v>
      </c>
      <c r="B34" s="1" t="s">
        <v>65</v>
      </c>
      <c r="C34" s="1">
        <v>1.4999999999999999E-2</v>
      </c>
      <c r="D34" s="1">
        <v>0.37</v>
      </c>
      <c r="E34" s="1" t="s">
        <v>256</v>
      </c>
      <c r="F34" s="1" t="s">
        <v>271</v>
      </c>
      <c r="G34" s="1"/>
    </row>
    <row r="35" spans="1:8" x14ac:dyDescent="0.25">
      <c r="A35" s="1" t="s">
        <v>536</v>
      </c>
      <c r="B35" s="1" t="s">
        <v>66</v>
      </c>
      <c r="C35" s="1">
        <v>1.4999999999999999E-2</v>
      </c>
      <c r="D35" s="1">
        <v>0.37</v>
      </c>
      <c r="E35" s="1" t="s">
        <v>256</v>
      </c>
      <c r="F35" s="1" t="s">
        <v>271</v>
      </c>
      <c r="G35" s="1"/>
    </row>
    <row r="36" spans="1:8" x14ac:dyDescent="0.25">
      <c r="A36" s="1" t="s">
        <v>537</v>
      </c>
      <c r="B36" s="1" t="s">
        <v>67</v>
      </c>
      <c r="C36" s="1">
        <v>1.4999999999999999E-2</v>
      </c>
      <c r="D36" s="1">
        <v>0.37</v>
      </c>
      <c r="E36" s="1" t="s">
        <v>256</v>
      </c>
      <c r="F36" s="1" t="s">
        <v>271</v>
      </c>
      <c r="G36" s="1"/>
    </row>
    <row r="37" spans="1:8" x14ac:dyDescent="0.25">
      <c r="A37" t="s">
        <v>538</v>
      </c>
      <c r="B37" t="s">
        <v>59</v>
      </c>
      <c r="C37">
        <v>1.4999999999999999E-2</v>
      </c>
      <c r="D37">
        <v>0.37</v>
      </c>
      <c r="E37" t="s">
        <v>256</v>
      </c>
      <c r="F37" t="s">
        <v>271</v>
      </c>
    </row>
    <row r="38" spans="1:8" x14ac:dyDescent="0.25">
      <c r="A38" t="s">
        <v>539</v>
      </c>
      <c r="B38" t="s">
        <v>68</v>
      </c>
      <c r="C38">
        <v>1.4999999999999999E-2</v>
      </c>
      <c r="D38">
        <v>0.37</v>
      </c>
      <c r="E38" t="s">
        <v>256</v>
      </c>
      <c r="F38" t="s">
        <v>271</v>
      </c>
    </row>
    <row r="39" spans="1:8" x14ac:dyDescent="0.25">
      <c r="A39" t="s">
        <v>540</v>
      </c>
      <c r="B39" t="s">
        <v>69</v>
      </c>
      <c r="C39">
        <v>1.4999999999999999E-2</v>
      </c>
      <c r="D39">
        <v>0.37</v>
      </c>
      <c r="E39" t="s">
        <v>256</v>
      </c>
      <c r="F39" t="s">
        <v>271</v>
      </c>
    </row>
    <row r="40" spans="1:8" x14ac:dyDescent="0.25">
      <c r="A40" t="s">
        <v>541</v>
      </c>
      <c r="B40" t="s">
        <v>86</v>
      </c>
      <c r="C40">
        <v>1.4999999999999999E-2</v>
      </c>
      <c r="D40">
        <v>0.37</v>
      </c>
      <c r="E40" t="s">
        <v>256</v>
      </c>
      <c r="F40" t="s">
        <v>271</v>
      </c>
    </row>
    <row r="41" spans="1:8" x14ac:dyDescent="0.25">
      <c r="A41" t="s">
        <v>542</v>
      </c>
      <c r="B41" t="s">
        <v>70</v>
      </c>
      <c r="C41">
        <v>1.4999999999999999E-2</v>
      </c>
      <c r="D41">
        <v>0.37</v>
      </c>
      <c r="E41" t="s">
        <v>256</v>
      </c>
      <c r="F41" t="s">
        <v>271</v>
      </c>
    </row>
    <row r="42" spans="1:8" x14ac:dyDescent="0.25">
      <c r="A42" t="s">
        <v>543</v>
      </c>
      <c r="B42" t="s">
        <v>77</v>
      </c>
      <c r="C42">
        <v>1.4999999999999999E-2</v>
      </c>
      <c r="D42">
        <v>0.37</v>
      </c>
      <c r="E42" t="s">
        <v>256</v>
      </c>
      <c r="F42" t="s">
        <v>271</v>
      </c>
    </row>
    <row r="43" spans="1:8" x14ac:dyDescent="0.25">
      <c r="A43" t="s">
        <v>544</v>
      </c>
      <c r="B43" t="s">
        <v>65</v>
      </c>
      <c r="C43">
        <v>3.0000000000000001E-3</v>
      </c>
      <c r="D43">
        <v>0.48</v>
      </c>
      <c r="E43" t="s">
        <v>269</v>
      </c>
      <c r="F43" t="s">
        <v>296</v>
      </c>
    </row>
    <row r="44" spans="1:8" x14ac:dyDescent="0.25">
      <c r="A44" t="s">
        <v>545</v>
      </c>
      <c r="B44" t="s">
        <v>68</v>
      </c>
      <c r="C44">
        <v>3.0000000000000001E-3</v>
      </c>
      <c r="D44">
        <v>0.48</v>
      </c>
      <c r="E44" t="s">
        <v>269</v>
      </c>
      <c r="F44" t="s">
        <v>296</v>
      </c>
    </row>
    <row r="45" spans="1:8" x14ac:dyDescent="0.25">
      <c r="A45" t="s">
        <v>546</v>
      </c>
      <c r="B45" t="s">
        <v>69</v>
      </c>
      <c r="C45">
        <v>3.0000000000000001E-3</v>
      </c>
      <c r="D45">
        <v>0.48</v>
      </c>
      <c r="E45" t="s">
        <v>269</v>
      </c>
      <c r="F45" t="s">
        <v>296</v>
      </c>
    </row>
    <row r="46" spans="1:8" x14ac:dyDescent="0.25">
      <c r="A46" t="s">
        <v>547</v>
      </c>
      <c r="B46" t="s">
        <v>65</v>
      </c>
      <c r="C46">
        <v>0.02</v>
      </c>
      <c r="D46">
        <v>0.99</v>
      </c>
      <c r="E46" t="s">
        <v>265</v>
      </c>
      <c r="F46" t="s">
        <v>308</v>
      </c>
    </row>
    <row r="47" spans="1:8" x14ac:dyDescent="0.25">
      <c r="A47" t="s">
        <v>548</v>
      </c>
      <c r="B47" t="s">
        <v>66</v>
      </c>
      <c r="C47">
        <v>0.02</v>
      </c>
      <c r="D47">
        <v>0.99</v>
      </c>
      <c r="E47" t="s">
        <v>265</v>
      </c>
      <c r="F47" t="s">
        <v>308</v>
      </c>
    </row>
    <row r="48" spans="1:8" x14ac:dyDescent="0.25">
      <c r="A48" t="s">
        <v>549</v>
      </c>
      <c r="B48" t="s">
        <v>67</v>
      </c>
      <c r="C48">
        <v>0.02</v>
      </c>
      <c r="D48">
        <v>0.99</v>
      </c>
      <c r="E48" t="s">
        <v>265</v>
      </c>
      <c r="F48" t="s">
        <v>308</v>
      </c>
    </row>
    <row r="49" spans="1:6" x14ac:dyDescent="0.25">
      <c r="A49" t="s">
        <v>550</v>
      </c>
      <c r="B49" t="s">
        <v>59</v>
      </c>
      <c r="C49">
        <v>0.02</v>
      </c>
      <c r="D49">
        <v>0.99</v>
      </c>
      <c r="E49" t="s">
        <v>265</v>
      </c>
      <c r="F49" t="s">
        <v>308</v>
      </c>
    </row>
    <row r="50" spans="1:6" x14ac:dyDescent="0.25">
      <c r="A50" t="s">
        <v>551</v>
      </c>
      <c r="B50" t="s">
        <v>68</v>
      </c>
      <c r="C50">
        <v>0.02</v>
      </c>
      <c r="D50">
        <v>0.99</v>
      </c>
      <c r="E50" t="s">
        <v>265</v>
      </c>
      <c r="F50" t="s">
        <v>308</v>
      </c>
    </row>
    <row r="51" spans="1:6" x14ac:dyDescent="0.25">
      <c r="A51" t="s">
        <v>552</v>
      </c>
      <c r="B51" t="s">
        <v>69</v>
      </c>
      <c r="C51">
        <v>0.02</v>
      </c>
      <c r="D51">
        <v>0.99</v>
      </c>
      <c r="E51" t="s">
        <v>265</v>
      </c>
      <c r="F51" t="s">
        <v>308</v>
      </c>
    </row>
    <row r="52" spans="1:6" x14ac:dyDescent="0.25">
      <c r="A52" t="s">
        <v>553</v>
      </c>
      <c r="B52" t="s">
        <v>86</v>
      </c>
      <c r="C52">
        <v>0.02</v>
      </c>
      <c r="D52">
        <v>0.99</v>
      </c>
      <c r="E52" t="s">
        <v>265</v>
      </c>
      <c r="F52" t="s">
        <v>308</v>
      </c>
    </row>
    <row r="53" spans="1:6" x14ac:dyDescent="0.25">
      <c r="A53" t="s">
        <v>554</v>
      </c>
      <c r="B53" t="s">
        <v>70</v>
      </c>
      <c r="C53">
        <v>0.02</v>
      </c>
      <c r="D53">
        <v>0.99</v>
      </c>
      <c r="E53" t="s">
        <v>265</v>
      </c>
      <c r="F53" t="s">
        <v>308</v>
      </c>
    </row>
    <row r="54" spans="1:6" x14ac:dyDescent="0.25">
      <c r="A54" t="s">
        <v>555</v>
      </c>
      <c r="B54" t="s">
        <v>77</v>
      </c>
      <c r="C54">
        <v>0.02</v>
      </c>
      <c r="D54">
        <v>0.99</v>
      </c>
      <c r="E54" t="s">
        <v>265</v>
      </c>
      <c r="F54" t="s">
        <v>308</v>
      </c>
    </row>
    <row r="55" spans="1:6" x14ac:dyDescent="0.25">
      <c r="A55" t="s">
        <v>556</v>
      </c>
      <c r="B55" t="s">
        <v>65</v>
      </c>
      <c r="C55">
        <v>0.02</v>
      </c>
      <c r="D55">
        <v>0.99</v>
      </c>
      <c r="E55" t="s">
        <v>507</v>
      </c>
      <c r="F55" t="s">
        <v>507</v>
      </c>
    </row>
    <row r="56" spans="1:6" x14ac:dyDescent="0.25">
      <c r="A56" t="s">
        <v>557</v>
      </c>
      <c r="B56" t="s">
        <v>59</v>
      </c>
      <c r="C56">
        <v>0.02</v>
      </c>
      <c r="D56">
        <v>0.99</v>
      </c>
      <c r="E56" t="s">
        <v>507</v>
      </c>
      <c r="F56" t="s">
        <v>507</v>
      </c>
    </row>
    <row r="57" spans="1:6" x14ac:dyDescent="0.25">
      <c r="A57" t="s">
        <v>558</v>
      </c>
      <c r="B57" t="s">
        <v>68</v>
      </c>
      <c r="C57">
        <v>0.02</v>
      </c>
      <c r="D57">
        <v>0.99</v>
      </c>
      <c r="E57" t="s">
        <v>507</v>
      </c>
      <c r="F57" t="s">
        <v>507</v>
      </c>
    </row>
    <row r="58" spans="1:6" x14ac:dyDescent="0.25">
      <c r="A58" t="s">
        <v>559</v>
      </c>
      <c r="B58" t="s">
        <v>69</v>
      </c>
      <c r="C58">
        <v>0.02</v>
      </c>
      <c r="D58">
        <v>0.99</v>
      </c>
      <c r="E58" t="s">
        <v>507</v>
      </c>
      <c r="F58" t="s">
        <v>507</v>
      </c>
    </row>
    <row r="59" spans="1:6" x14ac:dyDescent="0.25">
      <c r="A59" t="s">
        <v>560</v>
      </c>
      <c r="B59" t="s">
        <v>77</v>
      </c>
      <c r="C59">
        <v>0.02</v>
      </c>
      <c r="D59">
        <v>0.99</v>
      </c>
      <c r="E59" t="s">
        <v>507</v>
      </c>
      <c r="F59" t="s">
        <v>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253F-8366-4A16-BE8B-1A63C31491A1}">
  <dimension ref="A1:F133"/>
  <sheetViews>
    <sheetView showGridLines="0" topLeftCell="A45" zoomScaleNormal="100" workbookViewId="0">
      <selection activeCell="F61" sqref="F61"/>
    </sheetView>
  </sheetViews>
  <sheetFormatPr defaultRowHeight="11.5" x14ac:dyDescent="0.25"/>
  <cols>
    <col min="1" max="1" width="14.08984375" customWidth="1"/>
    <col min="2" max="2" width="20.08984375" customWidth="1"/>
    <col min="3" max="3" width="10.7265625" customWidth="1"/>
  </cols>
  <sheetData>
    <row r="1" spans="1:6" ht="19.5" x14ac:dyDescent="0.35">
      <c r="A1" s="6" t="s">
        <v>7</v>
      </c>
    </row>
    <row r="2" spans="1:6" x14ac:dyDescent="0.25">
      <c r="A2" s="5" t="s">
        <v>8</v>
      </c>
    </row>
    <row r="3" spans="1:6" x14ac:dyDescent="0.25">
      <c r="B3" s="5"/>
    </row>
    <row r="4" spans="1:6" x14ac:dyDescent="0.25">
      <c r="A4" s="40" t="s">
        <v>128</v>
      </c>
      <c r="B4" s="33"/>
      <c r="C4" s="33"/>
      <c r="D4" s="33"/>
      <c r="E4" s="33"/>
      <c r="F4" s="34"/>
    </row>
    <row r="5" spans="1:6" x14ac:dyDescent="0.25">
      <c r="A5" s="45"/>
      <c r="B5" s="45"/>
      <c r="C5" s="224"/>
      <c r="D5" s="224"/>
      <c r="E5" s="224"/>
      <c r="F5" s="35"/>
    </row>
    <row r="6" spans="1:6" ht="13" x14ac:dyDescent="0.3">
      <c r="A6" s="23" t="s">
        <v>338</v>
      </c>
      <c r="B6" s="224"/>
      <c r="C6" s="224"/>
      <c r="D6" s="163"/>
      <c r="E6" s="163"/>
      <c r="F6" s="35"/>
    </row>
    <row r="7" spans="1:6" ht="13" x14ac:dyDescent="0.3">
      <c r="A7" s="224" t="s">
        <v>341</v>
      </c>
      <c r="B7" s="224"/>
      <c r="C7" s="224"/>
      <c r="D7" s="165"/>
      <c r="E7" s="165"/>
      <c r="F7" s="35"/>
    </row>
    <row r="8" spans="1:6" ht="13" x14ac:dyDescent="0.3">
      <c r="A8" s="1" t="s">
        <v>340</v>
      </c>
      <c r="B8" s="224"/>
      <c r="C8" s="224"/>
      <c r="D8" s="166"/>
      <c r="E8" s="166"/>
      <c r="F8" s="35"/>
    </row>
    <row r="9" spans="1:6" ht="13" x14ac:dyDescent="0.3">
      <c r="B9" s="224"/>
      <c r="C9" s="224"/>
      <c r="D9" s="166"/>
      <c r="E9" s="166"/>
      <c r="F9" s="35"/>
    </row>
    <row r="10" spans="1:6" ht="13" x14ac:dyDescent="0.3">
      <c r="B10" s="224"/>
      <c r="C10" s="224"/>
      <c r="D10" s="166"/>
      <c r="E10" s="166"/>
      <c r="F10" s="35"/>
    </row>
    <row r="11" spans="1:6" ht="13" x14ac:dyDescent="0.25">
      <c r="A11" s="224" t="s">
        <v>329</v>
      </c>
      <c r="B11" s="224"/>
      <c r="C11" s="224"/>
      <c r="D11" s="168"/>
      <c r="E11" s="168"/>
      <c r="F11" s="35"/>
    </row>
    <row r="12" spans="1:6" ht="13" x14ac:dyDescent="0.25">
      <c r="A12" s="224" t="s">
        <v>342</v>
      </c>
      <c r="B12" s="224"/>
      <c r="C12" s="224"/>
      <c r="D12" s="168"/>
      <c r="E12" s="168"/>
      <c r="F12" s="35"/>
    </row>
    <row r="13" spans="1:6" ht="13" x14ac:dyDescent="0.25">
      <c r="A13" s="224"/>
      <c r="B13" s="224"/>
      <c r="C13" s="224"/>
      <c r="D13" s="168"/>
      <c r="E13" s="168"/>
      <c r="F13" s="35"/>
    </row>
    <row r="14" spans="1:6" ht="13" x14ac:dyDescent="0.25">
      <c r="A14" s="28" t="s">
        <v>345</v>
      </c>
      <c r="B14" s="1"/>
      <c r="C14" s="15"/>
      <c r="D14" s="168"/>
      <c r="E14" s="168"/>
      <c r="F14" s="35"/>
    </row>
    <row r="15" spans="1:6" ht="13" x14ac:dyDescent="0.25">
      <c r="A15" s="29" t="s">
        <v>343</v>
      </c>
      <c r="B15" s="224"/>
      <c r="C15" s="224"/>
      <c r="D15" s="168"/>
      <c r="E15" s="168"/>
      <c r="F15" s="35"/>
    </row>
    <row r="16" spans="1:6" ht="13" x14ac:dyDescent="0.25">
      <c r="A16" s="78"/>
      <c r="B16" s="224"/>
      <c r="C16" s="224"/>
      <c r="D16" s="168"/>
      <c r="E16" s="168"/>
      <c r="F16" s="35"/>
    </row>
    <row r="17" spans="1:6" x14ac:dyDescent="0.25">
      <c r="A17" t="s">
        <v>562</v>
      </c>
      <c r="B17" s="224"/>
      <c r="C17" s="224"/>
      <c r="E17" s="224"/>
      <c r="F17" s="35"/>
    </row>
    <row r="18" spans="1:6" x14ac:dyDescent="0.25">
      <c r="A18" s="38"/>
      <c r="B18" s="38"/>
      <c r="C18" s="38"/>
      <c r="D18" s="38"/>
      <c r="E18" s="38"/>
      <c r="F18" s="39"/>
    </row>
    <row r="19" spans="1:6" x14ac:dyDescent="0.25">
      <c r="B19" s="5"/>
    </row>
    <row r="20" spans="1:6" ht="28.15" customHeight="1" x14ac:dyDescent="0.25">
      <c r="B20" s="9" t="s">
        <v>25</v>
      </c>
      <c r="C20" s="9" t="s">
        <v>27</v>
      </c>
      <c r="D20" s="83"/>
    </row>
    <row r="21" spans="1:6" x14ac:dyDescent="0.25">
      <c r="B21" s="3" t="s">
        <v>3</v>
      </c>
      <c r="C21" s="2" t="s">
        <v>104</v>
      </c>
      <c r="D21" s="8"/>
    </row>
    <row r="22" spans="1:6" ht="12" thickBot="1" x14ac:dyDescent="0.3">
      <c r="A22" s="73"/>
      <c r="B22" s="50" t="s">
        <v>89</v>
      </c>
      <c r="C22" s="47" t="s">
        <v>52</v>
      </c>
      <c r="D22" s="8"/>
    </row>
    <row r="23" spans="1:6" x14ac:dyDescent="0.25">
      <c r="A23" s="261">
        <v>2010</v>
      </c>
      <c r="B23" s="1" t="s">
        <v>78</v>
      </c>
      <c r="C23" s="15">
        <v>120</v>
      </c>
      <c r="D23" s="16"/>
    </row>
    <row r="24" spans="1:6" x14ac:dyDescent="0.25">
      <c r="A24" s="261"/>
      <c r="B24" t="s">
        <v>79</v>
      </c>
      <c r="C24" s="15">
        <v>64</v>
      </c>
      <c r="D24" s="16"/>
    </row>
    <row r="25" spans="1:6" x14ac:dyDescent="0.25">
      <c r="A25" s="261"/>
      <c r="B25" t="s">
        <v>80</v>
      </c>
      <c r="C25" s="15">
        <v>2500</v>
      </c>
      <c r="D25" s="16"/>
    </row>
    <row r="26" spans="1:6" x14ac:dyDescent="0.25">
      <c r="A26" s="261"/>
      <c r="B26" t="s">
        <v>156</v>
      </c>
      <c r="C26" s="15">
        <v>474</v>
      </c>
      <c r="D26" s="16"/>
    </row>
    <row r="27" spans="1:6" x14ac:dyDescent="0.25">
      <c r="A27" s="261"/>
      <c r="B27" t="s">
        <v>81</v>
      </c>
      <c r="C27" s="15">
        <v>17</v>
      </c>
      <c r="D27" s="16"/>
    </row>
    <row r="28" spans="1:6" x14ac:dyDescent="0.25">
      <c r="A28" s="261"/>
      <c r="B28" s="1" t="s">
        <v>76</v>
      </c>
      <c r="C28" s="134">
        <v>37425</v>
      </c>
      <c r="D28" s="16"/>
    </row>
    <row r="29" spans="1:6" x14ac:dyDescent="0.25">
      <c r="A29" s="261"/>
      <c r="B29" s="8" t="s">
        <v>83</v>
      </c>
      <c r="C29" s="15">
        <v>132</v>
      </c>
      <c r="D29" s="16"/>
    </row>
    <row r="30" spans="1:6" x14ac:dyDescent="0.25">
      <c r="A30" s="261"/>
      <c r="B30" s="8" t="s">
        <v>155</v>
      </c>
      <c r="C30" s="15">
        <v>240</v>
      </c>
      <c r="D30" s="16"/>
    </row>
    <row r="31" spans="1:6" x14ac:dyDescent="0.25">
      <c r="A31" s="262"/>
      <c r="B31" s="8" t="s">
        <v>84</v>
      </c>
      <c r="C31" s="15">
        <v>563</v>
      </c>
      <c r="D31" s="16"/>
    </row>
    <row r="32" spans="1:6" x14ac:dyDescent="0.25">
      <c r="A32" s="262"/>
      <c r="B32" s="8" t="s">
        <v>157</v>
      </c>
      <c r="C32" s="15">
        <v>485</v>
      </c>
      <c r="D32" s="16"/>
    </row>
    <row r="33" spans="1:4" x14ac:dyDescent="0.25">
      <c r="A33" s="262"/>
      <c r="B33" s="8" t="s">
        <v>85</v>
      </c>
      <c r="C33" s="15">
        <v>1155</v>
      </c>
      <c r="D33" s="16"/>
    </row>
    <row r="34" spans="1:4" x14ac:dyDescent="0.25">
      <c r="A34" s="262"/>
      <c r="B34" s="1" t="s">
        <v>535</v>
      </c>
      <c r="C34" s="15">
        <v>0</v>
      </c>
      <c r="D34" s="16"/>
    </row>
    <row r="35" spans="1:4" x14ac:dyDescent="0.25">
      <c r="A35" s="262"/>
      <c r="B35" s="1" t="s">
        <v>536</v>
      </c>
      <c r="C35" s="15">
        <v>0</v>
      </c>
      <c r="D35" s="16"/>
    </row>
    <row r="36" spans="1:4" x14ac:dyDescent="0.25">
      <c r="A36" s="262"/>
      <c r="B36" s="1" t="s">
        <v>537</v>
      </c>
      <c r="C36" s="15">
        <v>0</v>
      </c>
      <c r="D36" s="16"/>
    </row>
    <row r="37" spans="1:4" x14ac:dyDescent="0.25">
      <c r="A37" s="262"/>
      <c r="B37" t="s">
        <v>538</v>
      </c>
      <c r="C37" s="15">
        <v>0</v>
      </c>
      <c r="D37" s="16"/>
    </row>
    <row r="38" spans="1:4" x14ac:dyDescent="0.25">
      <c r="A38" s="262"/>
      <c r="B38" t="s">
        <v>539</v>
      </c>
      <c r="C38" s="15">
        <v>0</v>
      </c>
      <c r="D38" s="16"/>
    </row>
    <row r="39" spans="1:4" x14ac:dyDescent="0.25">
      <c r="A39" s="262"/>
      <c r="B39" t="s">
        <v>540</v>
      </c>
      <c r="C39" s="15">
        <v>0</v>
      </c>
      <c r="D39" s="16"/>
    </row>
    <row r="40" spans="1:4" x14ac:dyDescent="0.25">
      <c r="A40" s="262"/>
      <c r="B40" t="s">
        <v>541</v>
      </c>
      <c r="C40" s="15">
        <v>0</v>
      </c>
      <c r="D40" s="16"/>
    </row>
    <row r="41" spans="1:4" x14ac:dyDescent="0.25">
      <c r="A41" s="262"/>
      <c r="B41" t="s">
        <v>542</v>
      </c>
      <c r="C41" s="15">
        <v>0</v>
      </c>
      <c r="D41" s="16"/>
    </row>
    <row r="42" spans="1:4" x14ac:dyDescent="0.25">
      <c r="A42" s="262"/>
      <c r="B42" t="s">
        <v>543</v>
      </c>
      <c r="C42" s="15">
        <v>0</v>
      </c>
      <c r="D42" s="16"/>
    </row>
    <row r="43" spans="1:4" x14ac:dyDescent="0.25">
      <c r="A43" s="262"/>
      <c r="B43" t="s">
        <v>544</v>
      </c>
      <c r="C43" s="15">
        <v>0</v>
      </c>
      <c r="D43" s="16"/>
    </row>
    <row r="44" spans="1:4" x14ac:dyDescent="0.25">
      <c r="A44" s="262"/>
      <c r="B44" t="s">
        <v>545</v>
      </c>
      <c r="C44" s="15">
        <v>0</v>
      </c>
      <c r="D44" s="16"/>
    </row>
    <row r="45" spans="1:4" x14ac:dyDescent="0.25">
      <c r="A45" s="262"/>
      <c r="B45" t="s">
        <v>546</v>
      </c>
      <c r="C45" s="15">
        <v>0</v>
      </c>
      <c r="D45" s="16"/>
    </row>
    <row r="46" spans="1:4" x14ac:dyDescent="0.25">
      <c r="A46" s="262"/>
      <c r="B46" t="s">
        <v>547</v>
      </c>
      <c r="C46" s="15">
        <v>0</v>
      </c>
      <c r="D46" s="16"/>
    </row>
    <row r="47" spans="1:4" x14ac:dyDescent="0.25">
      <c r="A47" s="262"/>
      <c r="B47" t="s">
        <v>548</v>
      </c>
      <c r="C47" s="15">
        <v>0</v>
      </c>
      <c r="D47" s="16"/>
    </row>
    <row r="48" spans="1:4" x14ac:dyDescent="0.25">
      <c r="A48" s="262"/>
      <c r="B48" t="s">
        <v>549</v>
      </c>
      <c r="C48" s="15">
        <v>0</v>
      </c>
      <c r="D48" s="16"/>
    </row>
    <row r="49" spans="1:4" x14ac:dyDescent="0.25">
      <c r="A49" s="262"/>
      <c r="B49" t="s">
        <v>550</v>
      </c>
      <c r="C49" s="15">
        <v>0</v>
      </c>
      <c r="D49" s="16"/>
    </row>
    <row r="50" spans="1:4" x14ac:dyDescent="0.25">
      <c r="A50" s="262"/>
      <c r="B50" t="s">
        <v>551</v>
      </c>
      <c r="C50" s="15">
        <v>0</v>
      </c>
      <c r="D50" s="16"/>
    </row>
    <row r="51" spans="1:4" x14ac:dyDescent="0.25">
      <c r="A51" s="262"/>
      <c r="B51" t="s">
        <v>552</v>
      </c>
      <c r="C51" s="15">
        <v>0</v>
      </c>
      <c r="D51" s="16"/>
    </row>
    <row r="52" spans="1:4" x14ac:dyDescent="0.25">
      <c r="A52" s="262"/>
      <c r="B52" t="s">
        <v>553</v>
      </c>
      <c r="C52" s="15">
        <v>0</v>
      </c>
      <c r="D52" s="16"/>
    </row>
    <row r="53" spans="1:4" x14ac:dyDescent="0.25">
      <c r="A53" s="262"/>
      <c r="B53" t="s">
        <v>554</v>
      </c>
      <c r="C53" s="15">
        <v>0</v>
      </c>
      <c r="D53" s="16"/>
    </row>
    <row r="54" spans="1:4" x14ac:dyDescent="0.25">
      <c r="A54" s="262"/>
      <c r="B54" t="s">
        <v>555</v>
      </c>
      <c r="C54" s="15">
        <v>0</v>
      </c>
      <c r="D54" s="16"/>
    </row>
    <row r="55" spans="1:4" x14ac:dyDescent="0.25">
      <c r="A55" s="262"/>
      <c r="B55" t="s">
        <v>556</v>
      </c>
      <c r="C55" s="15">
        <v>0</v>
      </c>
      <c r="D55" s="16"/>
    </row>
    <row r="56" spans="1:4" x14ac:dyDescent="0.25">
      <c r="A56" s="262"/>
      <c r="B56" t="s">
        <v>557</v>
      </c>
      <c r="C56" s="15">
        <v>0</v>
      </c>
      <c r="D56" s="16"/>
    </row>
    <row r="57" spans="1:4" x14ac:dyDescent="0.25">
      <c r="A57" s="262"/>
      <c r="B57" t="s">
        <v>558</v>
      </c>
      <c r="C57" s="15">
        <v>0</v>
      </c>
      <c r="D57" s="16"/>
    </row>
    <row r="58" spans="1:4" x14ac:dyDescent="0.25">
      <c r="A58" s="262"/>
      <c r="B58" t="s">
        <v>559</v>
      </c>
      <c r="C58" s="15">
        <v>0</v>
      </c>
      <c r="D58" s="16"/>
    </row>
    <row r="59" spans="1:4" x14ac:dyDescent="0.25">
      <c r="A59" s="262"/>
      <c r="B59" t="s">
        <v>560</v>
      </c>
      <c r="C59" s="15">
        <v>0</v>
      </c>
      <c r="D59" s="16"/>
    </row>
    <row r="60" spans="1:4" x14ac:dyDescent="0.25">
      <c r="A60" s="262">
        <v>2020</v>
      </c>
      <c r="B60" s="1" t="s">
        <v>78</v>
      </c>
      <c r="C60" s="15">
        <v>892</v>
      </c>
      <c r="D60" s="16"/>
    </row>
    <row r="61" spans="1:4" x14ac:dyDescent="0.25">
      <c r="A61" s="262"/>
      <c r="B61" t="s">
        <v>79</v>
      </c>
      <c r="C61" s="15">
        <v>465</v>
      </c>
      <c r="D61" s="16"/>
    </row>
    <row r="62" spans="1:4" x14ac:dyDescent="0.25">
      <c r="A62" s="262"/>
      <c r="B62" t="s">
        <v>80</v>
      </c>
      <c r="C62" s="15">
        <v>1300</v>
      </c>
      <c r="D62" s="16"/>
    </row>
    <row r="63" spans="1:4" x14ac:dyDescent="0.25">
      <c r="A63" s="262"/>
      <c r="B63" t="s">
        <v>156</v>
      </c>
      <c r="C63" s="15">
        <v>3350</v>
      </c>
      <c r="D63" s="16"/>
    </row>
    <row r="64" spans="1:4" x14ac:dyDescent="0.25">
      <c r="A64" s="262"/>
      <c r="B64" t="s">
        <v>81</v>
      </c>
      <c r="C64" s="15">
        <v>129</v>
      </c>
      <c r="D64" s="16"/>
    </row>
    <row r="65" spans="1:4" x14ac:dyDescent="0.25">
      <c r="A65" s="262"/>
      <c r="B65" s="1" t="s">
        <v>76</v>
      </c>
      <c r="C65" s="134">
        <f>51637-1980-1974</f>
        <v>47683</v>
      </c>
      <c r="D65" s="16"/>
    </row>
    <row r="66" spans="1:4" x14ac:dyDescent="0.25">
      <c r="A66" s="262"/>
      <c r="B66" s="8" t="s">
        <v>83</v>
      </c>
      <c r="C66" s="15">
        <v>132</v>
      </c>
      <c r="D66" s="16"/>
    </row>
    <row r="67" spans="1:4" x14ac:dyDescent="0.25">
      <c r="A67" s="262"/>
      <c r="B67" s="8" t="s">
        <v>155</v>
      </c>
      <c r="C67" s="15">
        <v>347</v>
      </c>
      <c r="D67" s="16"/>
    </row>
    <row r="68" spans="1:4" x14ac:dyDescent="0.25">
      <c r="A68" s="262"/>
      <c r="B68" s="8" t="s">
        <v>84</v>
      </c>
      <c r="C68" s="15">
        <f>892+88</f>
        <v>980</v>
      </c>
      <c r="D68" s="16"/>
    </row>
    <row r="69" spans="1:4" x14ac:dyDescent="0.25">
      <c r="A69" s="262"/>
      <c r="B69" s="8" t="s">
        <v>157</v>
      </c>
      <c r="C69" s="15">
        <v>573</v>
      </c>
      <c r="D69" s="16"/>
    </row>
    <row r="70" spans="1:4" x14ac:dyDescent="0.25">
      <c r="A70" s="262"/>
      <c r="B70" s="8" t="s">
        <v>85</v>
      </c>
      <c r="C70" s="15">
        <f>1220+100</f>
        <v>1320</v>
      </c>
      <c r="D70" s="16"/>
    </row>
    <row r="71" spans="1:4" x14ac:dyDescent="0.25">
      <c r="A71" s="262"/>
      <c r="B71" s="1" t="s">
        <v>535</v>
      </c>
      <c r="C71" s="15">
        <v>0</v>
      </c>
      <c r="D71" s="16"/>
    </row>
    <row r="72" spans="1:4" x14ac:dyDescent="0.25">
      <c r="A72" s="262"/>
      <c r="B72" s="1" t="s">
        <v>536</v>
      </c>
      <c r="C72" s="15">
        <v>0</v>
      </c>
      <c r="D72" s="16"/>
    </row>
    <row r="73" spans="1:4" x14ac:dyDescent="0.25">
      <c r="A73" s="262"/>
      <c r="B73" s="1" t="s">
        <v>537</v>
      </c>
      <c r="C73" s="15">
        <v>0</v>
      </c>
      <c r="D73" s="16"/>
    </row>
    <row r="74" spans="1:4" x14ac:dyDescent="0.25">
      <c r="A74" s="262"/>
      <c r="B74" t="s">
        <v>538</v>
      </c>
      <c r="C74" s="15">
        <v>0</v>
      </c>
      <c r="D74" s="16"/>
    </row>
    <row r="75" spans="1:4" x14ac:dyDescent="0.25">
      <c r="A75" s="262"/>
      <c r="B75" t="s">
        <v>539</v>
      </c>
      <c r="C75" s="15">
        <v>0</v>
      </c>
      <c r="D75" s="16"/>
    </row>
    <row r="76" spans="1:4" x14ac:dyDescent="0.25">
      <c r="A76" s="262"/>
      <c r="B76" t="s">
        <v>540</v>
      </c>
      <c r="C76" s="15">
        <v>0</v>
      </c>
      <c r="D76" s="16"/>
    </row>
    <row r="77" spans="1:4" x14ac:dyDescent="0.25">
      <c r="A77" s="262"/>
      <c r="B77" t="s">
        <v>541</v>
      </c>
      <c r="C77" s="15">
        <v>0</v>
      </c>
      <c r="D77" s="16"/>
    </row>
    <row r="78" spans="1:4" x14ac:dyDescent="0.25">
      <c r="A78" s="262"/>
      <c r="B78" t="s">
        <v>542</v>
      </c>
      <c r="C78" s="15">
        <v>0</v>
      </c>
      <c r="D78" s="16"/>
    </row>
    <row r="79" spans="1:4" x14ac:dyDescent="0.25">
      <c r="A79" s="262"/>
      <c r="B79" t="s">
        <v>543</v>
      </c>
      <c r="C79" s="15">
        <v>0</v>
      </c>
      <c r="D79" s="16"/>
    </row>
    <row r="80" spans="1:4" x14ac:dyDescent="0.25">
      <c r="A80" s="262"/>
      <c r="B80" t="s">
        <v>544</v>
      </c>
      <c r="C80" s="15">
        <v>0</v>
      </c>
      <c r="D80" s="16"/>
    </row>
    <row r="81" spans="1:4" x14ac:dyDescent="0.25">
      <c r="A81" s="262"/>
      <c r="B81" t="s">
        <v>545</v>
      </c>
      <c r="C81" s="15">
        <v>0</v>
      </c>
      <c r="D81" s="16"/>
    </row>
    <row r="82" spans="1:4" x14ac:dyDescent="0.25">
      <c r="A82" s="262"/>
      <c r="B82" t="s">
        <v>546</v>
      </c>
      <c r="C82" s="15">
        <v>0</v>
      </c>
      <c r="D82" s="16"/>
    </row>
    <row r="83" spans="1:4" x14ac:dyDescent="0.25">
      <c r="A83" s="262"/>
      <c r="B83" t="s">
        <v>547</v>
      </c>
      <c r="C83" s="15">
        <v>0</v>
      </c>
      <c r="D83" s="16"/>
    </row>
    <row r="84" spans="1:4" x14ac:dyDescent="0.25">
      <c r="A84" s="262"/>
      <c r="B84" t="s">
        <v>548</v>
      </c>
      <c r="C84" s="15">
        <v>36</v>
      </c>
      <c r="D84" s="16"/>
    </row>
    <row r="85" spans="1:4" x14ac:dyDescent="0.25">
      <c r="A85" s="262"/>
      <c r="B85" t="s">
        <v>549</v>
      </c>
      <c r="C85" s="15">
        <v>0</v>
      </c>
      <c r="D85" s="16"/>
    </row>
    <row r="86" spans="1:4" x14ac:dyDescent="0.25">
      <c r="A86" s="262"/>
      <c r="B86" t="s">
        <v>550</v>
      </c>
      <c r="C86" s="15">
        <v>40</v>
      </c>
      <c r="D86" s="16"/>
    </row>
    <row r="87" spans="1:4" x14ac:dyDescent="0.25">
      <c r="A87" s="262"/>
      <c r="B87" t="s">
        <v>551</v>
      </c>
      <c r="C87" s="15">
        <v>120</v>
      </c>
      <c r="D87" s="16"/>
    </row>
    <row r="88" spans="1:4" x14ac:dyDescent="0.25">
      <c r="A88" s="262"/>
      <c r="B88" t="s">
        <v>552</v>
      </c>
      <c r="C88" s="15">
        <v>0</v>
      </c>
      <c r="D88" s="16"/>
    </row>
    <row r="89" spans="1:4" x14ac:dyDescent="0.25">
      <c r="A89" s="262"/>
      <c r="B89" t="s">
        <v>553</v>
      </c>
      <c r="C89" s="15">
        <v>74</v>
      </c>
      <c r="D89" s="16"/>
    </row>
    <row r="90" spans="1:4" x14ac:dyDescent="0.25">
      <c r="A90" s="262"/>
      <c r="B90" t="s">
        <v>554</v>
      </c>
      <c r="C90" s="15">
        <v>0</v>
      </c>
      <c r="D90" s="16"/>
    </row>
    <row r="91" spans="1:4" x14ac:dyDescent="0.25">
      <c r="A91" s="262"/>
      <c r="B91" t="s">
        <v>555</v>
      </c>
      <c r="C91" s="15">
        <v>1974</v>
      </c>
      <c r="D91" s="16"/>
    </row>
    <row r="92" spans="1:4" x14ac:dyDescent="0.25">
      <c r="A92" s="262"/>
      <c r="B92" t="s">
        <v>556</v>
      </c>
      <c r="C92" s="15">
        <v>502</v>
      </c>
      <c r="D92" s="16"/>
    </row>
    <row r="93" spans="1:4" x14ac:dyDescent="0.25">
      <c r="A93" s="262"/>
      <c r="B93" t="s">
        <v>557</v>
      </c>
      <c r="C93" s="15">
        <v>0</v>
      </c>
      <c r="D93" s="16"/>
    </row>
    <row r="94" spans="1:4" x14ac:dyDescent="0.25">
      <c r="A94" s="262"/>
      <c r="B94" t="s">
        <v>558</v>
      </c>
      <c r="C94" s="15">
        <v>0</v>
      </c>
      <c r="D94" s="16"/>
    </row>
    <row r="95" spans="1:4" x14ac:dyDescent="0.25">
      <c r="A95" s="262"/>
      <c r="B95" t="s">
        <v>559</v>
      </c>
      <c r="C95" s="15">
        <v>0</v>
      </c>
      <c r="D95" s="16"/>
    </row>
    <row r="96" spans="1:4" x14ac:dyDescent="0.25">
      <c r="A96" s="262"/>
      <c r="B96" t="s">
        <v>560</v>
      </c>
      <c r="C96" s="15">
        <v>1980</v>
      </c>
      <c r="D96" s="16"/>
    </row>
    <row r="97" spans="1:3" x14ac:dyDescent="0.25">
      <c r="A97" s="263">
        <v>2050</v>
      </c>
      <c r="B97" s="1" t="s">
        <v>78</v>
      </c>
      <c r="C97" s="15">
        <v>0</v>
      </c>
    </row>
    <row r="98" spans="1:3" x14ac:dyDescent="0.25">
      <c r="A98" s="263"/>
      <c r="B98" t="s">
        <v>79</v>
      </c>
      <c r="C98" s="15">
        <v>0</v>
      </c>
    </row>
    <row r="99" spans="1:3" x14ac:dyDescent="0.25">
      <c r="A99" s="263"/>
      <c r="B99" t="s">
        <v>80</v>
      </c>
      <c r="C99" s="15">
        <v>0</v>
      </c>
    </row>
    <row r="100" spans="1:3" x14ac:dyDescent="0.25">
      <c r="A100" s="263"/>
      <c r="B100" t="s">
        <v>156</v>
      </c>
      <c r="C100" s="15">
        <v>474</v>
      </c>
    </row>
    <row r="101" spans="1:3" x14ac:dyDescent="0.25">
      <c r="A101" s="263"/>
      <c r="B101" t="s">
        <v>81</v>
      </c>
      <c r="C101" s="15">
        <v>0</v>
      </c>
    </row>
    <row r="102" spans="1:3" x14ac:dyDescent="0.25">
      <c r="A102" s="263"/>
      <c r="B102" s="1" t="s">
        <v>76</v>
      </c>
      <c r="C102" s="15">
        <v>0</v>
      </c>
    </row>
    <row r="103" spans="1:3" x14ac:dyDescent="0.25">
      <c r="A103" s="263"/>
      <c r="B103" s="8" t="s">
        <v>83</v>
      </c>
      <c r="C103" s="15">
        <v>0</v>
      </c>
    </row>
    <row r="104" spans="1:3" x14ac:dyDescent="0.25">
      <c r="A104" s="263"/>
      <c r="B104" s="8" t="s">
        <v>155</v>
      </c>
      <c r="C104" s="15">
        <v>240</v>
      </c>
    </row>
    <row r="105" spans="1:3" x14ac:dyDescent="0.25">
      <c r="A105" s="263"/>
      <c r="B105" s="8" t="s">
        <v>84</v>
      </c>
      <c r="C105" s="15">
        <v>0</v>
      </c>
    </row>
    <row r="106" spans="1:3" x14ac:dyDescent="0.25">
      <c r="A106" s="181"/>
      <c r="B106" s="8" t="s">
        <v>157</v>
      </c>
      <c r="C106" s="15">
        <v>485</v>
      </c>
    </row>
    <row r="107" spans="1:3" x14ac:dyDescent="0.25">
      <c r="A107" s="181"/>
      <c r="B107" s="8" t="s">
        <v>85</v>
      </c>
      <c r="C107" s="15">
        <v>0</v>
      </c>
    </row>
    <row r="108" spans="1:3" x14ac:dyDescent="0.25">
      <c r="A108" s="181"/>
      <c r="B108" s="1" t="s">
        <v>535</v>
      </c>
      <c r="C108" s="15">
        <v>0</v>
      </c>
    </row>
    <row r="109" spans="1:3" x14ac:dyDescent="0.25">
      <c r="A109" s="181"/>
      <c r="B109" s="1" t="s">
        <v>536</v>
      </c>
      <c r="C109" s="15">
        <v>0</v>
      </c>
    </row>
    <row r="110" spans="1:3" x14ac:dyDescent="0.25">
      <c r="A110" s="263"/>
      <c r="B110" s="1" t="s">
        <v>537</v>
      </c>
      <c r="C110" s="15">
        <v>0</v>
      </c>
    </row>
    <row r="111" spans="1:3" x14ac:dyDescent="0.25">
      <c r="A111" s="263"/>
      <c r="B111" t="s">
        <v>538</v>
      </c>
      <c r="C111" s="15">
        <v>0</v>
      </c>
    </row>
    <row r="112" spans="1:3" x14ac:dyDescent="0.25">
      <c r="A112" s="263"/>
      <c r="B112" t="s">
        <v>539</v>
      </c>
      <c r="C112" s="15">
        <v>0</v>
      </c>
    </row>
    <row r="113" spans="1:3" x14ac:dyDescent="0.25">
      <c r="A113" s="263"/>
      <c r="B113" t="s">
        <v>540</v>
      </c>
      <c r="C113" s="15">
        <v>0</v>
      </c>
    </row>
    <row r="114" spans="1:3" x14ac:dyDescent="0.25">
      <c r="A114" s="263"/>
      <c r="B114" t="s">
        <v>541</v>
      </c>
      <c r="C114" s="15">
        <v>0</v>
      </c>
    </row>
    <row r="115" spans="1:3" x14ac:dyDescent="0.25">
      <c r="A115" s="263"/>
      <c r="B115" t="s">
        <v>542</v>
      </c>
      <c r="C115" s="15">
        <v>0</v>
      </c>
    </row>
    <row r="116" spans="1:3" x14ac:dyDescent="0.25">
      <c r="A116" s="263"/>
      <c r="B116" t="s">
        <v>543</v>
      </c>
      <c r="C116" s="15">
        <v>0</v>
      </c>
    </row>
    <row r="117" spans="1:3" x14ac:dyDescent="0.25">
      <c r="A117" s="263"/>
      <c r="B117" t="s">
        <v>544</v>
      </c>
      <c r="C117" s="15">
        <v>0</v>
      </c>
    </row>
    <row r="118" spans="1:3" x14ac:dyDescent="0.25">
      <c r="A118" s="263"/>
      <c r="B118" t="s">
        <v>545</v>
      </c>
      <c r="C118" s="15">
        <v>0</v>
      </c>
    </row>
    <row r="119" spans="1:3" x14ac:dyDescent="0.25">
      <c r="A119" s="263"/>
      <c r="B119" t="s">
        <v>546</v>
      </c>
      <c r="C119" s="15">
        <v>0</v>
      </c>
    </row>
    <row r="120" spans="1:3" x14ac:dyDescent="0.25">
      <c r="A120" s="263"/>
      <c r="B120" t="s">
        <v>547</v>
      </c>
      <c r="C120" s="15">
        <v>0</v>
      </c>
    </row>
    <row r="121" spans="1:3" x14ac:dyDescent="0.25">
      <c r="A121" s="263"/>
      <c r="B121" t="s">
        <v>548</v>
      </c>
      <c r="C121" s="15">
        <v>0</v>
      </c>
    </row>
    <row r="122" spans="1:3" x14ac:dyDescent="0.25">
      <c r="A122" s="263"/>
      <c r="B122" t="s">
        <v>549</v>
      </c>
      <c r="C122" s="15">
        <v>0</v>
      </c>
    </row>
    <row r="123" spans="1:3" x14ac:dyDescent="0.25">
      <c r="A123" s="263"/>
      <c r="B123" t="s">
        <v>550</v>
      </c>
      <c r="C123" s="15">
        <v>0</v>
      </c>
    </row>
    <row r="124" spans="1:3" x14ac:dyDescent="0.25">
      <c r="A124" s="263"/>
      <c r="B124" t="s">
        <v>551</v>
      </c>
      <c r="C124" s="15">
        <v>0</v>
      </c>
    </row>
    <row r="125" spans="1:3" x14ac:dyDescent="0.25">
      <c r="A125" s="263"/>
      <c r="B125" t="s">
        <v>552</v>
      </c>
      <c r="C125" s="15">
        <v>0</v>
      </c>
    </row>
    <row r="126" spans="1:3" x14ac:dyDescent="0.25">
      <c r="A126" s="263"/>
      <c r="B126" t="s">
        <v>553</v>
      </c>
      <c r="C126" s="15">
        <v>0</v>
      </c>
    </row>
    <row r="127" spans="1:3" x14ac:dyDescent="0.25">
      <c r="A127" s="263"/>
      <c r="B127" t="s">
        <v>554</v>
      </c>
      <c r="C127" s="15">
        <v>0</v>
      </c>
    </row>
    <row r="128" spans="1:3" x14ac:dyDescent="0.25">
      <c r="A128" s="263"/>
      <c r="B128" t="s">
        <v>555</v>
      </c>
      <c r="C128" s="15">
        <v>0</v>
      </c>
    </row>
    <row r="129" spans="1:3" x14ac:dyDescent="0.25">
      <c r="A129" s="263"/>
      <c r="B129" t="s">
        <v>556</v>
      </c>
      <c r="C129" s="15">
        <v>0</v>
      </c>
    </row>
    <row r="130" spans="1:3" x14ac:dyDescent="0.25">
      <c r="A130" s="263"/>
      <c r="B130" t="s">
        <v>557</v>
      </c>
      <c r="C130" s="15">
        <v>0</v>
      </c>
    </row>
    <row r="131" spans="1:3" x14ac:dyDescent="0.25">
      <c r="A131" s="263"/>
      <c r="B131" t="s">
        <v>558</v>
      </c>
      <c r="C131" s="15">
        <v>0</v>
      </c>
    </row>
    <row r="132" spans="1:3" x14ac:dyDescent="0.25">
      <c r="A132" s="263"/>
      <c r="B132" t="s">
        <v>559</v>
      </c>
      <c r="C132" s="15">
        <v>0</v>
      </c>
    </row>
    <row r="133" spans="1:3" x14ac:dyDescent="0.25">
      <c r="A133" s="263"/>
      <c r="B133" t="s">
        <v>560</v>
      </c>
      <c r="C133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0"/>
  <sheetViews>
    <sheetView showGridLines="0" topLeftCell="A10" zoomScale="85" zoomScaleNormal="85" workbookViewId="0">
      <selection activeCell="F50" sqref="F50:F58"/>
    </sheetView>
  </sheetViews>
  <sheetFormatPr defaultRowHeight="11.5" x14ac:dyDescent="0.25"/>
  <cols>
    <col min="2" max="2" width="17" customWidth="1"/>
    <col min="3" max="3" width="15.26953125" customWidth="1"/>
    <col min="4" max="4" width="16.26953125" customWidth="1"/>
    <col min="5" max="5" width="19.26953125" customWidth="1"/>
    <col min="6" max="8" width="15.26953125" customWidth="1"/>
    <col min="9" max="9" width="19.90625" customWidth="1"/>
    <col min="10" max="10" width="15.26953125" customWidth="1"/>
    <col min="11" max="14" width="17.453125" customWidth="1"/>
    <col min="15" max="16" width="13.7265625" customWidth="1"/>
    <col min="17" max="17" width="11.36328125" customWidth="1"/>
    <col min="18" max="18" width="10.08984375" customWidth="1"/>
  </cols>
  <sheetData>
    <row r="1" spans="1:25" ht="19.5" x14ac:dyDescent="0.35">
      <c r="A1" s="6" t="s">
        <v>54</v>
      </c>
      <c r="E1" t="s">
        <v>530</v>
      </c>
      <c r="G1" t="s">
        <v>531</v>
      </c>
      <c r="H1" t="s">
        <v>533</v>
      </c>
    </row>
    <row r="2" spans="1:25" x14ac:dyDescent="0.25">
      <c r="A2" s="5" t="s">
        <v>5</v>
      </c>
      <c r="E2" s="23" t="s">
        <v>529</v>
      </c>
      <c r="G2" t="s">
        <v>532</v>
      </c>
    </row>
    <row r="3" spans="1:25" x14ac:dyDescent="0.25">
      <c r="B3" s="5"/>
      <c r="O3" s="10"/>
      <c r="W3" s="10"/>
      <c r="X3" s="10"/>
      <c r="Y3" s="10"/>
    </row>
    <row r="4" spans="1:25" x14ac:dyDescent="0.25">
      <c r="A4" s="123" t="s">
        <v>128</v>
      </c>
      <c r="B4" s="122"/>
      <c r="C4" s="122"/>
      <c r="D4" s="122"/>
      <c r="E4" s="32" t="s">
        <v>130</v>
      </c>
      <c r="F4" s="33"/>
      <c r="G4" s="33"/>
      <c r="H4" s="33"/>
      <c r="I4" s="33"/>
      <c r="J4" s="33"/>
      <c r="K4" s="33"/>
      <c r="L4" s="196"/>
      <c r="M4" s="196"/>
      <c r="N4" s="33"/>
      <c r="O4" s="33"/>
      <c r="P4" s="33"/>
      <c r="Q4" s="34"/>
    </row>
    <row r="5" spans="1:25" x14ac:dyDescent="0.25">
      <c r="A5" s="121" t="s">
        <v>348</v>
      </c>
      <c r="B5" s="124"/>
      <c r="C5" s="124"/>
      <c r="D5" s="12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35"/>
    </row>
    <row r="6" spans="1:25" x14ac:dyDescent="0.25">
      <c r="A6" s="121" t="s">
        <v>129</v>
      </c>
      <c r="B6" s="124"/>
      <c r="C6" s="124"/>
      <c r="D6" s="124"/>
      <c r="E6" s="36" t="s">
        <v>359</v>
      </c>
      <c r="F6" s="11" t="s">
        <v>357</v>
      </c>
      <c r="G6" s="11" t="s">
        <v>71</v>
      </c>
      <c r="H6" s="11" t="s">
        <v>72</v>
      </c>
      <c r="I6" s="11" t="s">
        <v>73</v>
      </c>
      <c r="J6" s="11" t="s">
        <v>74</v>
      </c>
      <c r="K6" s="11" t="s">
        <v>75</v>
      </c>
      <c r="L6" s="11"/>
      <c r="M6" s="11"/>
      <c r="N6" s="27" t="s">
        <v>472</v>
      </c>
      <c r="O6" s="11" t="s">
        <v>131</v>
      </c>
      <c r="P6" s="11" t="s">
        <v>358</v>
      </c>
      <c r="Q6" s="35"/>
    </row>
    <row r="7" spans="1:25" x14ac:dyDescent="0.25">
      <c r="A7" s="124" t="s">
        <v>347</v>
      </c>
      <c r="B7" s="124"/>
      <c r="C7" s="124"/>
      <c r="D7" s="124"/>
      <c r="E7" s="36" t="s">
        <v>351</v>
      </c>
      <c r="F7" s="11">
        <v>1925</v>
      </c>
      <c r="G7" s="11">
        <v>290</v>
      </c>
      <c r="H7" s="11">
        <v>2565</v>
      </c>
      <c r="I7" s="11">
        <v>246</v>
      </c>
      <c r="J7" s="11">
        <v>156</v>
      </c>
      <c r="K7" s="11">
        <v>67</v>
      </c>
      <c r="L7" s="11"/>
      <c r="M7" s="11"/>
      <c r="N7" s="226">
        <f>N8/(N9*3.6)</f>
        <v>149.99999999999997</v>
      </c>
      <c r="O7" s="11">
        <v>3021</v>
      </c>
      <c r="P7" s="11">
        <v>1111</v>
      </c>
      <c r="Q7" s="35"/>
    </row>
    <row r="8" spans="1:25" x14ac:dyDescent="0.25">
      <c r="A8" s="121" t="s">
        <v>346</v>
      </c>
      <c r="B8" s="124"/>
      <c r="C8" s="124"/>
      <c r="D8" s="124"/>
      <c r="E8" s="36" t="s">
        <v>352</v>
      </c>
      <c r="F8" s="11">
        <v>1470</v>
      </c>
      <c r="G8" s="11">
        <v>990</v>
      </c>
      <c r="H8" s="11">
        <v>2075</v>
      </c>
      <c r="I8" s="11">
        <v>124</v>
      </c>
      <c r="J8" s="11">
        <v>90</v>
      </c>
      <c r="K8" s="11">
        <v>64</v>
      </c>
      <c r="L8" s="11"/>
      <c r="M8" s="11"/>
      <c r="N8" s="11">
        <v>108</v>
      </c>
      <c r="O8" s="11">
        <v>2250</v>
      </c>
      <c r="P8" s="11">
        <v>1600</v>
      </c>
      <c r="Q8" s="35"/>
    </row>
    <row r="9" spans="1:25" x14ac:dyDescent="0.25">
      <c r="A9" s="126" t="s">
        <v>163</v>
      </c>
      <c r="B9" s="124"/>
      <c r="C9" s="124"/>
      <c r="D9" s="124"/>
      <c r="E9" s="36" t="s">
        <v>353</v>
      </c>
      <c r="F9" s="41">
        <f>F8/(F7*3.6)</f>
        <v>0.21212121212121213</v>
      </c>
      <c r="G9" s="41">
        <f t="shared" ref="G9:K9" si="0">G8/(G7*3.6)</f>
        <v>0.94827586206896552</v>
      </c>
      <c r="H9" s="41">
        <f t="shared" si="0"/>
        <v>0.22471301711067793</v>
      </c>
      <c r="I9" s="41">
        <f t="shared" si="0"/>
        <v>0.14001806684733514</v>
      </c>
      <c r="J9" s="41">
        <f t="shared" si="0"/>
        <v>0.16025641025641024</v>
      </c>
      <c r="K9" s="41">
        <f t="shared" si="0"/>
        <v>0.2653399668325041</v>
      </c>
      <c r="L9" s="41"/>
      <c r="M9" s="41"/>
      <c r="N9" s="227">
        <v>0.2</v>
      </c>
      <c r="O9" s="228">
        <f>O8/(O7*3.6)</f>
        <v>0.2068851373717312</v>
      </c>
      <c r="P9" s="41">
        <f t="shared" ref="P9" si="1">P8/(P7*3.6)</f>
        <v>0.40004000400040007</v>
      </c>
      <c r="Q9" s="35"/>
    </row>
    <row r="10" spans="1:25" x14ac:dyDescent="0.25">
      <c r="A10" s="124" t="s">
        <v>360</v>
      </c>
      <c r="B10" s="124"/>
      <c r="C10" s="124"/>
      <c r="D10" s="124"/>
      <c r="E10" s="36"/>
      <c r="F10" s="11" t="s">
        <v>135</v>
      </c>
      <c r="G10" s="11" t="s">
        <v>137</v>
      </c>
      <c r="H10" s="11" t="s">
        <v>138</v>
      </c>
      <c r="I10" s="11" t="s">
        <v>141</v>
      </c>
      <c r="J10" s="11" t="s">
        <v>143</v>
      </c>
      <c r="K10" s="10" t="s">
        <v>363</v>
      </c>
      <c r="L10" s="10"/>
      <c r="M10" s="10"/>
      <c r="N10" s="11" t="s">
        <v>150</v>
      </c>
      <c r="O10" s="11" t="s">
        <v>151</v>
      </c>
      <c r="P10" s="11" t="s">
        <v>149</v>
      </c>
      <c r="Q10" s="35"/>
    </row>
    <row r="11" spans="1:25" x14ac:dyDescent="0.25">
      <c r="A11" s="124" t="s">
        <v>349</v>
      </c>
      <c r="B11" s="124"/>
      <c r="C11" s="124"/>
      <c r="D11" s="125"/>
      <c r="E11" s="36" t="s">
        <v>351</v>
      </c>
      <c r="F11" s="11">
        <v>312</v>
      </c>
      <c r="G11" s="11">
        <v>1600</v>
      </c>
      <c r="H11" s="11">
        <v>2173</v>
      </c>
      <c r="I11" s="11">
        <v>19</v>
      </c>
      <c r="J11" s="11">
        <v>47</v>
      </c>
      <c r="K11" s="226">
        <f>K12/(K13*3.6)</f>
        <v>59.975656683712153</v>
      </c>
      <c r="L11" s="10"/>
      <c r="M11" s="10"/>
      <c r="N11" s="11">
        <v>372</v>
      </c>
      <c r="O11" s="11">
        <v>67</v>
      </c>
      <c r="P11" s="11">
        <f>5*97.4</f>
        <v>487</v>
      </c>
      <c r="Q11" s="35"/>
    </row>
    <row r="12" spans="1:25" x14ac:dyDescent="0.25">
      <c r="A12" s="124" t="s">
        <v>350</v>
      </c>
      <c r="B12" s="124"/>
      <c r="C12" s="124"/>
      <c r="D12" s="124"/>
      <c r="E12" s="36" t="s">
        <v>352</v>
      </c>
      <c r="F12" s="11">
        <v>120</v>
      </c>
      <c r="G12" s="11">
        <v>850</v>
      </c>
      <c r="H12" s="11">
        <v>2000</v>
      </c>
      <c r="I12" s="11">
        <v>256</v>
      </c>
      <c r="J12" s="11">
        <v>34</v>
      </c>
      <c r="K12" s="10">
        <f>J12+J16+K16</f>
        <v>340</v>
      </c>
      <c r="L12" s="10"/>
      <c r="M12" s="10"/>
      <c r="N12" s="11">
        <v>240</v>
      </c>
      <c r="O12" s="11">
        <v>64</v>
      </c>
      <c r="P12" s="11">
        <v>750</v>
      </c>
      <c r="Q12" s="35"/>
    </row>
    <row r="13" spans="1:25" x14ac:dyDescent="0.25">
      <c r="B13" s="124"/>
      <c r="C13" s="124"/>
      <c r="D13" s="124"/>
      <c r="E13" s="36" t="s">
        <v>353</v>
      </c>
      <c r="F13" s="41">
        <f>F12/(F11*3.6)</f>
        <v>0.10683760683760683</v>
      </c>
      <c r="G13" s="41">
        <f>G12/(G11*3.6)</f>
        <v>0.14756944444444445</v>
      </c>
      <c r="H13" s="41">
        <f t="shared" ref="H13:J13" si="2">H12/(H11*3.6)</f>
        <v>0.25566293398783047</v>
      </c>
      <c r="I13" s="41">
        <f t="shared" si="2"/>
        <v>3.742690058479532</v>
      </c>
      <c r="J13" s="41">
        <f t="shared" si="2"/>
        <v>0.20094562647754136</v>
      </c>
      <c r="K13" s="14">
        <f>J13+J17+K17</f>
        <v>1.5747129696721291</v>
      </c>
      <c r="L13" s="14"/>
      <c r="M13" s="14"/>
      <c r="N13" s="41">
        <f>N12/(N11*3.6)</f>
        <v>0.17921146953405018</v>
      </c>
      <c r="O13" s="41">
        <f>O12/(O11*3.6)</f>
        <v>0.2653399668325041</v>
      </c>
      <c r="P13" s="41">
        <f>P12/(P11*3.6)</f>
        <v>0.42778918548939082</v>
      </c>
      <c r="Q13" s="35"/>
    </row>
    <row r="14" spans="1:25" x14ac:dyDescent="0.25">
      <c r="A14" s="171" t="s">
        <v>372</v>
      </c>
      <c r="B14" s="124"/>
      <c r="C14" s="124"/>
      <c r="D14" s="124"/>
      <c r="E14" s="36"/>
      <c r="F14" s="96"/>
      <c r="G14" s="53"/>
      <c r="H14" s="11"/>
      <c r="I14" s="11"/>
      <c r="J14" s="11" t="s">
        <v>144</v>
      </c>
      <c r="K14" s="11" t="s">
        <v>145</v>
      </c>
      <c r="L14" s="11"/>
      <c r="M14" s="11"/>
      <c r="N14" s="11"/>
      <c r="O14" s="11"/>
      <c r="P14" s="11"/>
      <c r="Q14" s="35"/>
    </row>
    <row r="15" spans="1:25" x14ac:dyDescent="0.25">
      <c r="A15" s="124" t="s">
        <v>362</v>
      </c>
      <c r="B15" s="124"/>
      <c r="C15" s="124"/>
      <c r="D15" s="125"/>
      <c r="E15" s="11" t="s">
        <v>356</v>
      </c>
      <c r="F15" s="11"/>
      <c r="G15" s="53"/>
      <c r="H15" s="11"/>
      <c r="I15" s="11" t="s">
        <v>351</v>
      </c>
      <c r="J15" s="11">
        <v>57</v>
      </c>
      <c r="K15" s="11">
        <v>68</v>
      </c>
      <c r="L15" s="11"/>
      <c r="M15" s="11" t="s">
        <v>471</v>
      </c>
      <c r="N15" s="11"/>
      <c r="O15" s="11"/>
      <c r="P15" s="11"/>
      <c r="Q15" s="35"/>
    </row>
    <row r="16" spans="1:25" x14ac:dyDescent="0.25">
      <c r="A16" s="124" t="s">
        <v>361</v>
      </c>
      <c r="B16" s="124"/>
      <c r="C16" s="124"/>
      <c r="D16" s="125"/>
      <c r="E16" s="11" t="s">
        <v>354</v>
      </c>
      <c r="F16" s="11" t="s">
        <v>355</v>
      </c>
      <c r="G16" s="11"/>
      <c r="H16" s="11"/>
      <c r="I16" s="11" t="s">
        <v>352</v>
      </c>
      <c r="J16" s="11">
        <v>157</v>
      </c>
      <c r="K16" s="11">
        <v>149</v>
      </c>
      <c r="L16" s="11"/>
      <c r="M16" s="11"/>
      <c r="N16" s="11"/>
      <c r="O16" s="11"/>
      <c r="P16" s="11"/>
      <c r="Q16" s="35"/>
    </row>
    <row r="17" spans="1:25" x14ac:dyDescent="0.25">
      <c r="A17" s="128" t="s">
        <v>203</v>
      </c>
      <c r="B17" s="124"/>
      <c r="C17" s="124"/>
      <c r="D17" s="125"/>
      <c r="E17" s="53">
        <f>SUM(P40:P49)</f>
        <v>11168.663999999999</v>
      </c>
      <c r="F17" s="11">
        <v>56</v>
      </c>
      <c r="G17" s="11"/>
      <c r="H17" s="11"/>
      <c r="I17" s="11" t="s">
        <v>353</v>
      </c>
      <c r="J17" s="41">
        <f>J16/(J15*3.6)</f>
        <v>0.76510721247563351</v>
      </c>
      <c r="K17" s="41">
        <v>0.6086601307189542</v>
      </c>
      <c r="L17" s="41"/>
      <c r="M17" s="41"/>
      <c r="N17" s="11"/>
      <c r="O17" s="11"/>
      <c r="P17" s="11"/>
      <c r="Q17" s="35"/>
    </row>
    <row r="18" spans="1:25" x14ac:dyDescent="0.25">
      <c r="A18" s="127"/>
      <c r="B18" s="127"/>
      <c r="C18" s="127"/>
      <c r="D18" s="127"/>
      <c r="E18" s="37"/>
      <c r="F18" s="38"/>
      <c r="G18" s="38"/>
      <c r="H18" s="38"/>
      <c r="I18" s="38"/>
      <c r="J18" s="38"/>
      <c r="K18" s="38"/>
      <c r="L18" s="156"/>
      <c r="M18" s="156"/>
      <c r="N18" s="38"/>
      <c r="O18" s="38"/>
      <c r="P18" s="38"/>
      <c r="Q18" s="39"/>
    </row>
    <row r="19" spans="1:25" x14ac:dyDescent="0.25">
      <c r="B19" s="5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48.65" customHeight="1" x14ac:dyDescent="0.25">
      <c r="A20" s="10"/>
      <c r="B20" s="169" t="s">
        <v>30</v>
      </c>
      <c r="C20" s="169" t="s">
        <v>32</v>
      </c>
      <c r="D20" s="169" t="s">
        <v>114</v>
      </c>
      <c r="E20" s="169" t="s">
        <v>42</v>
      </c>
      <c r="F20" s="169" t="s">
        <v>31</v>
      </c>
      <c r="G20" s="169" t="s">
        <v>28</v>
      </c>
      <c r="H20" s="169" t="s">
        <v>29</v>
      </c>
      <c r="I20" s="169" t="s">
        <v>205</v>
      </c>
      <c r="J20" s="169" t="s">
        <v>211</v>
      </c>
      <c r="K20" s="169" t="s">
        <v>43</v>
      </c>
      <c r="L20" s="223" t="s">
        <v>458</v>
      </c>
      <c r="M20" s="223"/>
      <c r="N20" s="172" t="s">
        <v>369</v>
      </c>
      <c r="O20" s="172" t="s">
        <v>371</v>
      </c>
      <c r="P20" s="172" t="s">
        <v>371</v>
      </c>
      <c r="Q20" s="172" t="s">
        <v>370</v>
      </c>
      <c r="X20" s="10"/>
      <c r="Y20" s="10"/>
    </row>
    <row r="21" spans="1:25" x14ac:dyDescent="0.25">
      <c r="A21" s="10"/>
      <c r="B21" s="51" t="s">
        <v>3</v>
      </c>
      <c r="C21" s="52" t="s">
        <v>2</v>
      </c>
      <c r="D21" s="52" t="s">
        <v>2</v>
      </c>
      <c r="E21" s="52" t="s">
        <v>1</v>
      </c>
      <c r="F21" s="52" t="s">
        <v>104</v>
      </c>
      <c r="G21" s="52" t="s">
        <v>6</v>
      </c>
      <c r="H21" s="52" t="s">
        <v>344</v>
      </c>
      <c r="I21" s="52" t="s">
        <v>6</v>
      </c>
      <c r="J21" s="52" t="s">
        <v>2</v>
      </c>
      <c r="K21" s="52" t="s">
        <v>2</v>
      </c>
      <c r="L21" s="24" t="s">
        <v>455</v>
      </c>
      <c r="M21" s="24" t="s">
        <v>455</v>
      </c>
      <c r="N21" s="170"/>
      <c r="O21" s="173" t="s">
        <v>250</v>
      </c>
      <c r="P21" s="173" t="s">
        <v>365</v>
      </c>
      <c r="Q21" s="173" t="s">
        <v>368</v>
      </c>
      <c r="S21" s="10"/>
      <c r="T21" s="10"/>
      <c r="U21" s="10"/>
      <c r="V21" s="10"/>
      <c r="W21" s="10"/>
      <c r="X21" s="10"/>
      <c r="Y21" s="10"/>
    </row>
    <row r="22" spans="1:25" ht="12" thickBot="1" x14ac:dyDescent="0.3">
      <c r="A22" s="49"/>
      <c r="B22" s="50" t="s">
        <v>0</v>
      </c>
      <c r="C22" s="48" t="s">
        <v>46</v>
      </c>
      <c r="D22" s="47" t="s">
        <v>88</v>
      </c>
      <c r="E22" s="47" t="s">
        <v>191</v>
      </c>
      <c r="F22" s="47" t="s">
        <v>53</v>
      </c>
      <c r="G22" s="47" t="s">
        <v>192</v>
      </c>
      <c r="H22" s="48" t="s">
        <v>152</v>
      </c>
      <c r="I22" s="48" t="s">
        <v>204</v>
      </c>
      <c r="J22" s="48" t="s">
        <v>206</v>
      </c>
      <c r="K22" s="48" t="s">
        <v>45</v>
      </c>
      <c r="L22" s="47" t="s">
        <v>456</v>
      </c>
      <c r="M22" s="47" t="s">
        <v>457</v>
      </c>
      <c r="N22" s="175" t="s">
        <v>304</v>
      </c>
      <c r="O22" s="175" t="s">
        <v>364</v>
      </c>
      <c r="P22" s="175" t="s">
        <v>366</v>
      </c>
      <c r="Q22" s="175" t="s">
        <v>367</v>
      </c>
      <c r="S22" s="11"/>
      <c r="T22" s="11"/>
      <c r="U22" s="11"/>
      <c r="V22" s="11"/>
      <c r="W22" s="11"/>
      <c r="X22" s="10"/>
      <c r="Y22" s="10"/>
    </row>
    <row r="23" spans="1:25" x14ac:dyDescent="0.25">
      <c r="A23" s="46" t="s">
        <v>158</v>
      </c>
      <c r="B23" s="11" t="s">
        <v>61</v>
      </c>
      <c r="C23" s="11" t="s">
        <v>60</v>
      </c>
      <c r="D23" s="11" t="s">
        <v>59</v>
      </c>
      <c r="E23" s="11">
        <v>0.22</v>
      </c>
      <c r="F23" s="53">
        <v>2075</v>
      </c>
      <c r="G23" s="11">
        <v>6.0000000000000001E-3</v>
      </c>
      <c r="H23" s="11">
        <v>0.89</v>
      </c>
      <c r="I23" s="11">
        <v>0.05</v>
      </c>
      <c r="J23" s="11" t="s">
        <v>207</v>
      </c>
      <c r="K23" s="11" t="s">
        <v>112</v>
      </c>
      <c r="L23" s="11">
        <v>2565</v>
      </c>
      <c r="M23" s="11">
        <v>2102</v>
      </c>
      <c r="N23" s="170">
        <v>13535</v>
      </c>
      <c r="O23" s="170"/>
      <c r="P23" s="170"/>
      <c r="Q23" s="170"/>
      <c r="S23" s="10"/>
      <c r="T23" s="12"/>
      <c r="U23" s="13"/>
      <c r="V23" s="10"/>
      <c r="W23" s="13"/>
      <c r="X23" s="10"/>
      <c r="Y23" s="10"/>
    </row>
    <row r="24" spans="1:25" x14ac:dyDescent="0.25">
      <c r="A24" s="46"/>
      <c r="B24" s="11" t="s">
        <v>127</v>
      </c>
      <c r="C24" s="11" t="s">
        <v>297</v>
      </c>
      <c r="D24" s="11" t="s">
        <v>86</v>
      </c>
      <c r="E24" s="11">
        <v>0.21</v>
      </c>
      <c r="F24" s="53">
        <v>720</v>
      </c>
      <c r="G24" s="11">
        <v>6.0000000000000001E-3</v>
      </c>
      <c r="H24" s="18">
        <v>0.89</v>
      </c>
      <c r="I24" s="224">
        <v>0.05</v>
      </c>
      <c r="J24" s="18" t="s">
        <v>208</v>
      </c>
      <c r="K24" s="11" t="s">
        <v>64</v>
      </c>
      <c r="L24" s="53">
        <f>1925/2</f>
        <v>962.5</v>
      </c>
      <c r="M24" s="53">
        <f>1771/2</f>
        <v>885.5</v>
      </c>
      <c r="N24" s="170">
        <v>3834</v>
      </c>
      <c r="O24" s="170"/>
      <c r="P24" s="170"/>
      <c r="Q24" s="170"/>
      <c r="S24" s="10"/>
      <c r="T24" s="12"/>
      <c r="U24" s="13"/>
      <c r="V24" s="10"/>
      <c r="W24" s="13"/>
      <c r="X24" s="10"/>
      <c r="Y24" s="10"/>
    </row>
    <row r="25" spans="1:25" x14ac:dyDescent="0.25">
      <c r="A25" s="46"/>
      <c r="B25" s="11" t="s">
        <v>126</v>
      </c>
      <c r="C25" s="11" t="s">
        <v>297</v>
      </c>
      <c r="D25" s="11" t="s">
        <v>70</v>
      </c>
      <c r="E25" s="11">
        <v>0.21</v>
      </c>
      <c r="F25" s="53">
        <v>750</v>
      </c>
      <c r="G25" s="11">
        <v>6.0000000000000001E-3</v>
      </c>
      <c r="H25" s="18">
        <v>0.89</v>
      </c>
      <c r="I25" s="224">
        <v>0.05</v>
      </c>
      <c r="J25" s="18" t="s">
        <v>209</v>
      </c>
      <c r="K25" s="11" t="s">
        <v>64</v>
      </c>
      <c r="L25" s="53">
        <f>1925/2</f>
        <v>962.5</v>
      </c>
      <c r="M25" s="53">
        <f>1771/2</f>
        <v>885.5</v>
      </c>
      <c r="N25" s="170">
        <v>3834</v>
      </c>
      <c r="O25" s="170"/>
      <c r="P25" s="170"/>
      <c r="Q25" s="170"/>
      <c r="S25" s="10"/>
      <c r="T25" s="12"/>
      <c r="U25" s="13"/>
      <c r="V25" s="10"/>
      <c r="W25" s="13"/>
      <c r="X25" s="10"/>
      <c r="Y25" s="10"/>
    </row>
    <row r="26" spans="1:25" x14ac:dyDescent="0.25">
      <c r="A26" s="46"/>
      <c r="B26" s="11" t="s">
        <v>115</v>
      </c>
      <c r="C26" s="11" t="s">
        <v>116</v>
      </c>
      <c r="D26" s="11" t="s">
        <v>86</v>
      </c>
      <c r="E26" s="11">
        <v>0.95</v>
      </c>
      <c r="F26" s="53">
        <v>990</v>
      </c>
      <c r="G26" s="11">
        <v>6.0000000000000001E-3</v>
      </c>
      <c r="H26" s="11">
        <v>0.89</v>
      </c>
      <c r="I26" s="224">
        <v>0.05</v>
      </c>
      <c r="J26" s="11" t="s">
        <v>208</v>
      </c>
      <c r="K26" s="11" t="s">
        <v>113</v>
      </c>
      <c r="L26">
        <v>290</v>
      </c>
      <c r="M26">
        <v>233</v>
      </c>
      <c r="N26" s="170">
        <v>6785</v>
      </c>
      <c r="O26" s="170"/>
      <c r="P26" s="170"/>
      <c r="Q26" s="170"/>
      <c r="S26" s="10"/>
      <c r="T26" s="12"/>
      <c r="U26" s="13"/>
      <c r="V26" s="10"/>
      <c r="W26" s="13"/>
      <c r="X26" s="10"/>
      <c r="Y26" s="10"/>
    </row>
    <row r="27" spans="1:25" x14ac:dyDescent="0.25">
      <c r="A27" s="46"/>
      <c r="B27" s="11" t="s">
        <v>62</v>
      </c>
      <c r="C27" s="179" t="s">
        <v>44</v>
      </c>
      <c r="D27" s="11" t="s">
        <v>67</v>
      </c>
      <c r="E27" s="11">
        <v>0.14000000000000001</v>
      </c>
      <c r="F27" s="53">
        <v>124</v>
      </c>
      <c r="G27" s="11">
        <v>6.0000000000000001E-3</v>
      </c>
      <c r="H27" s="11">
        <v>0.86</v>
      </c>
      <c r="I27" s="224">
        <v>0.05</v>
      </c>
      <c r="J27" s="11" t="s">
        <v>210</v>
      </c>
      <c r="K27" s="10" t="s">
        <v>220</v>
      </c>
      <c r="L27" s="1">
        <v>246</v>
      </c>
      <c r="M27" s="1">
        <v>246</v>
      </c>
      <c r="N27" s="170">
        <v>1017</v>
      </c>
      <c r="O27" s="170"/>
      <c r="P27" s="170"/>
      <c r="Q27" s="170"/>
      <c r="S27" s="10"/>
      <c r="T27" s="12"/>
      <c r="U27" s="13"/>
      <c r="V27" s="10"/>
      <c r="W27" s="13"/>
      <c r="X27" s="10"/>
      <c r="Y27" s="10"/>
    </row>
    <row r="28" spans="1:25" x14ac:dyDescent="0.25">
      <c r="A28" s="46"/>
      <c r="B28" s="11" t="s">
        <v>63</v>
      </c>
      <c r="C28" s="11" t="s">
        <v>44</v>
      </c>
      <c r="D28" s="11" t="s">
        <v>70</v>
      </c>
      <c r="E28" s="27">
        <v>0.2</v>
      </c>
      <c r="F28" s="53">
        <v>108</v>
      </c>
      <c r="G28" s="11">
        <v>6.0000000000000001E-3</v>
      </c>
      <c r="H28" s="11">
        <v>0.9</v>
      </c>
      <c r="I28" s="224">
        <v>0.05</v>
      </c>
      <c r="J28" s="11" t="s">
        <v>209</v>
      </c>
      <c r="K28" s="11" t="s">
        <v>64</v>
      </c>
      <c r="L28" s="11">
        <f>F28/(E28*3.6)</f>
        <v>149.99999999999997</v>
      </c>
      <c r="M28" s="11">
        <v>150</v>
      </c>
      <c r="N28" s="170"/>
      <c r="O28" s="170"/>
      <c r="P28" s="170"/>
      <c r="Q28" s="170"/>
      <c r="S28" s="10"/>
      <c r="T28" s="12"/>
      <c r="U28" s="13"/>
      <c r="V28" s="10"/>
      <c r="W28" s="13"/>
      <c r="X28" s="10"/>
      <c r="Y28" s="10"/>
    </row>
    <row r="29" spans="1:25" x14ac:dyDescent="0.25">
      <c r="A29" s="46"/>
      <c r="B29" s="11" t="s">
        <v>57</v>
      </c>
      <c r="C29" s="11" t="s">
        <v>44</v>
      </c>
      <c r="D29" s="11" t="s">
        <v>67</v>
      </c>
      <c r="E29" s="11">
        <v>0.16</v>
      </c>
      <c r="F29" s="53">
        <v>90</v>
      </c>
      <c r="G29" s="11">
        <v>6.0000000000000001E-3</v>
      </c>
      <c r="H29" s="11">
        <v>0.86</v>
      </c>
      <c r="I29" s="224">
        <v>0.05</v>
      </c>
      <c r="J29" s="11" t="s">
        <v>210</v>
      </c>
      <c r="K29" s="10" t="s">
        <v>220</v>
      </c>
      <c r="L29" s="10">
        <v>156</v>
      </c>
      <c r="M29" s="10">
        <v>156</v>
      </c>
      <c r="N29" s="170">
        <v>722</v>
      </c>
      <c r="O29" s="170"/>
      <c r="P29" s="170"/>
      <c r="Q29" s="170"/>
      <c r="S29" s="10"/>
      <c r="T29" s="10"/>
      <c r="U29" s="10"/>
      <c r="V29" s="10"/>
      <c r="W29" s="10"/>
      <c r="X29" s="10"/>
      <c r="Y29" s="10"/>
    </row>
    <row r="30" spans="1:25" x14ac:dyDescent="0.25">
      <c r="A30" s="177"/>
      <c r="B30" s="156" t="s">
        <v>58</v>
      </c>
      <c r="C30" s="156" t="s">
        <v>44</v>
      </c>
      <c r="D30" s="156" t="s">
        <v>67</v>
      </c>
      <c r="E30" s="156">
        <v>0.27</v>
      </c>
      <c r="F30" s="178">
        <v>64</v>
      </c>
      <c r="G30" s="156">
        <v>6.0000000000000001E-3</v>
      </c>
      <c r="H30" s="156">
        <v>0.89</v>
      </c>
      <c r="I30" s="156">
        <v>0.05</v>
      </c>
      <c r="J30" s="156" t="s">
        <v>210</v>
      </c>
      <c r="K30" s="156" t="s">
        <v>220</v>
      </c>
      <c r="L30" s="156">
        <v>67</v>
      </c>
      <c r="M30" s="156">
        <v>67</v>
      </c>
      <c r="N30" s="176">
        <v>520</v>
      </c>
      <c r="O30" s="176"/>
      <c r="P30" s="176"/>
      <c r="Q30" s="176"/>
      <c r="S30" s="10"/>
      <c r="T30" s="10"/>
      <c r="U30" s="10"/>
      <c r="V30" s="10"/>
      <c r="W30" s="10"/>
      <c r="X30" s="10"/>
      <c r="Y30" s="10"/>
    </row>
    <row r="31" spans="1:25" x14ac:dyDescent="0.25">
      <c r="A31" s="257" t="s">
        <v>518</v>
      </c>
      <c r="B31" s="156" t="s">
        <v>61</v>
      </c>
      <c r="C31" s="156" t="s">
        <v>60</v>
      </c>
      <c r="D31" s="156" t="s">
        <v>59</v>
      </c>
      <c r="E31" s="156">
        <v>0.22</v>
      </c>
      <c r="F31" s="178">
        <v>0</v>
      </c>
      <c r="G31" s="156">
        <v>6.0000000000000001E-3</v>
      </c>
      <c r="H31" s="156">
        <v>0.89</v>
      </c>
      <c r="I31" s="156">
        <v>0.05</v>
      </c>
      <c r="J31" s="156" t="s">
        <v>207</v>
      </c>
      <c r="K31" s="156" t="s">
        <v>112</v>
      </c>
      <c r="L31" s="156">
        <v>2565</v>
      </c>
      <c r="M31" s="156">
        <v>2102</v>
      </c>
      <c r="N31" s="176"/>
      <c r="O31" s="176"/>
      <c r="P31" s="176"/>
      <c r="Q31" s="176"/>
      <c r="S31" s="10"/>
      <c r="T31" s="10"/>
      <c r="U31" s="10"/>
      <c r="V31" s="10"/>
      <c r="W31" s="10"/>
      <c r="X31" s="10"/>
      <c r="Y31" s="10"/>
    </row>
    <row r="32" spans="1:25" x14ac:dyDescent="0.25">
      <c r="A32" s="72" t="s">
        <v>159</v>
      </c>
      <c r="B32" s="11" t="s">
        <v>61</v>
      </c>
      <c r="C32" s="11" t="s">
        <v>60</v>
      </c>
      <c r="D32" s="10" t="s">
        <v>59</v>
      </c>
      <c r="E32" s="11">
        <v>0.22</v>
      </c>
      <c r="F32" s="53">
        <v>2075</v>
      </c>
      <c r="G32" s="11">
        <v>6.0000000000000001E-3</v>
      </c>
      <c r="H32" s="11">
        <v>0.89</v>
      </c>
      <c r="I32" s="224">
        <v>0.05</v>
      </c>
      <c r="J32" s="11" t="s">
        <v>207</v>
      </c>
      <c r="K32" s="11" t="s">
        <v>112</v>
      </c>
      <c r="L32" s="11">
        <v>2565</v>
      </c>
      <c r="M32" s="11">
        <v>2102</v>
      </c>
      <c r="N32" s="170"/>
      <c r="O32" s="170"/>
      <c r="P32" s="170"/>
      <c r="Q32" s="170"/>
    </row>
    <row r="33" spans="1:19" x14ac:dyDescent="0.25">
      <c r="A33" s="72"/>
      <c r="B33" s="72" t="s">
        <v>127</v>
      </c>
      <c r="C33" s="11" t="s">
        <v>297</v>
      </c>
      <c r="D33" s="10" t="s">
        <v>86</v>
      </c>
      <c r="E33" s="41">
        <v>0.2068851373717312</v>
      </c>
      <c r="F33" s="255">
        <f>F24+120+360</f>
        <v>1200</v>
      </c>
      <c r="G33" s="11">
        <v>6.0000000000000001E-3</v>
      </c>
      <c r="H33" s="11">
        <v>0.89</v>
      </c>
      <c r="I33" s="224">
        <v>0.05</v>
      </c>
      <c r="J33" s="11" t="s">
        <v>208</v>
      </c>
      <c r="K33" s="11" t="s">
        <v>64</v>
      </c>
      <c r="L33" s="53">
        <f>3021*1200/2250</f>
        <v>1611.2</v>
      </c>
      <c r="M33" s="53">
        <f>2771*1200/2250</f>
        <v>1477.8666666666666</v>
      </c>
      <c r="N33" s="170"/>
      <c r="O33" s="170">
        <v>1340</v>
      </c>
      <c r="P33" s="174">
        <f>O33*(F33-F24)/1000</f>
        <v>643.20000000000005</v>
      </c>
      <c r="Q33" s="174">
        <f>8.72*(F33-F24)/1000</f>
        <v>4.1856</v>
      </c>
      <c r="S33" s="96"/>
    </row>
    <row r="34" spans="1:19" x14ac:dyDescent="0.25">
      <c r="A34" s="72"/>
      <c r="B34" s="72" t="s">
        <v>126</v>
      </c>
      <c r="C34" s="11" t="s">
        <v>297</v>
      </c>
      <c r="D34" s="10" t="s">
        <v>70</v>
      </c>
      <c r="E34" s="41">
        <v>0.2068851373717312</v>
      </c>
      <c r="F34" s="255">
        <f>F25+300</f>
        <v>1050</v>
      </c>
      <c r="G34" s="11">
        <v>6.0000000000000001E-3</v>
      </c>
      <c r="H34" s="11">
        <v>0.89</v>
      </c>
      <c r="I34" s="224">
        <v>0.05</v>
      </c>
      <c r="J34" s="11" t="s">
        <v>209</v>
      </c>
      <c r="K34" s="11" t="s">
        <v>64</v>
      </c>
      <c r="L34" s="53">
        <f>3021*1050/2250</f>
        <v>1409.8</v>
      </c>
      <c r="M34" s="53">
        <f>2771*1050/2250</f>
        <v>1293.1333333333334</v>
      </c>
      <c r="N34" s="170"/>
      <c r="O34" s="170">
        <v>1333</v>
      </c>
      <c r="P34" s="174">
        <f>O34*(F34-F25)/1000</f>
        <v>399.9</v>
      </c>
      <c r="Q34" s="174">
        <f>8.72*(F34-F25)/1000</f>
        <v>2.6160000000000001</v>
      </c>
      <c r="S34" s="96"/>
    </row>
    <row r="35" spans="1:19" x14ac:dyDescent="0.25">
      <c r="A35" s="72"/>
      <c r="B35" s="72" t="s">
        <v>115</v>
      </c>
      <c r="C35" s="11" t="s">
        <v>116</v>
      </c>
      <c r="D35" s="10" t="s">
        <v>86</v>
      </c>
      <c r="E35" s="224">
        <v>0.95</v>
      </c>
      <c r="F35" s="255">
        <f>990+150</f>
        <v>1140</v>
      </c>
      <c r="G35" s="11">
        <v>6.0000000000000001E-3</v>
      </c>
      <c r="H35" s="11">
        <v>0.89</v>
      </c>
      <c r="I35" s="224">
        <v>0.05</v>
      </c>
      <c r="J35" s="11" t="s">
        <v>208</v>
      </c>
      <c r="K35" s="11" t="s">
        <v>113</v>
      </c>
      <c r="L35" s="96">
        <f>L26*F35/F26</f>
        <v>333.93939393939394</v>
      </c>
      <c r="M35" s="96">
        <f>M26*F35/F26</f>
        <v>268.30303030303031</v>
      </c>
      <c r="N35" s="170"/>
      <c r="O35" s="170">
        <v>1340</v>
      </c>
      <c r="P35" s="174">
        <f>O35*(F35-F26)/1000</f>
        <v>201</v>
      </c>
      <c r="Q35" s="174">
        <f>8.72*(F35-F26)/1000</f>
        <v>1.3080000000000001</v>
      </c>
      <c r="S35" s="96"/>
    </row>
    <row r="36" spans="1:19" x14ac:dyDescent="0.25">
      <c r="A36" s="72"/>
      <c r="B36" s="10" t="s">
        <v>62</v>
      </c>
      <c r="C36" s="10" t="s">
        <v>44</v>
      </c>
      <c r="D36" s="10" t="s">
        <v>67</v>
      </c>
      <c r="E36" s="11">
        <v>0.14000000000000001</v>
      </c>
      <c r="F36" s="53">
        <v>124</v>
      </c>
      <c r="G36" s="11">
        <v>6.0000000000000001E-3</v>
      </c>
      <c r="H36" s="11">
        <v>0.86</v>
      </c>
      <c r="I36" s="224">
        <v>0.05</v>
      </c>
      <c r="J36" s="11" t="s">
        <v>210</v>
      </c>
      <c r="K36" s="11" t="s">
        <v>220</v>
      </c>
      <c r="L36" s="11">
        <v>246</v>
      </c>
      <c r="M36" s="11">
        <v>246</v>
      </c>
      <c r="N36" s="170"/>
      <c r="O36" s="170"/>
      <c r="P36" s="170"/>
      <c r="Q36" s="170"/>
    </row>
    <row r="37" spans="1:19" x14ac:dyDescent="0.25">
      <c r="A37" s="72"/>
      <c r="B37" s="10" t="s">
        <v>63</v>
      </c>
      <c r="C37" s="10" t="s">
        <v>44</v>
      </c>
      <c r="D37" s="10" t="s">
        <v>70</v>
      </c>
      <c r="E37" s="11">
        <v>0.2</v>
      </c>
      <c r="F37" s="53">
        <v>108</v>
      </c>
      <c r="G37" s="11">
        <v>6.0000000000000001E-3</v>
      </c>
      <c r="H37" s="11">
        <v>0.9</v>
      </c>
      <c r="I37" s="224">
        <v>0.05</v>
      </c>
      <c r="J37" s="11" t="s">
        <v>209</v>
      </c>
      <c r="K37" s="11" t="s">
        <v>64</v>
      </c>
      <c r="L37" s="27">
        <v>150</v>
      </c>
      <c r="M37" s="27">
        <v>150</v>
      </c>
      <c r="N37" s="170"/>
      <c r="O37" s="170"/>
      <c r="P37" s="170"/>
      <c r="Q37" s="170"/>
    </row>
    <row r="38" spans="1:19" x14ac:dyDescent="0.25">
      <c r="A38" s="72"/>
      <c r="B38" s="10" t="s">
        <v>57</v>
      </c>
      <c r="C38" s="10" t="s">
        <v>44</v>
      </c>
      <c r="D38" s="10" t="s">
        <v>67</v>
      </c>
      <c r="E38" s="11">
        <v>0.16</v>
      </c>
      <c r="F38" s="53">
        <v>90</v>
      </c>
      <c r="G38" s="11">
        <v>6.0000000000000001E-3</v>
      </c>
      <c r="H38" s="11">
        <v>0.86</v>
      </c>
      <c r="I38" s="224">
        <v>0.05</v>
      </c>
      <c r="J38" s="11" t="s">
        <v>210</v>
      </c>
      <c r="K38" s="11" t="s">
        <v>220</v>
      </c>
      <c r="L38" s="11">
        <v>276</v>
      </c>
      <c r="M38" s="11">
        <v>276</v>
      </c>
      <c r="N38" s="170"/>
      <c r="O38" s="170"/>
      <c r="P38" s="170"/>
      <c r="Q38" s="170"/>
    </row>
    <row r="39" spans="1:19" x14ac:dyDescent="0.25">
      <c r="A39" s="72"/>
      <c r="B39" s="10" t="s">
        <v>58</v>
      </c>
      <c r="C39" s="10" t="s">
        <v>44</v>
      </c>
      <c r="D39" s="10" t="s">
        <v>67</v>
      </c>
      <c r="E39" s="11">
        <v>0.27</v>
      </c>
      <c r="F39" s="53">
        <v>64</v>
      </c>
      <c r="G39" s="11">
        <v>6.0000000000000001E-3</v>
      </c>
      <c r="H39" s="11">
        <v>0.89</v>
      </c>
      <c r="I39" s="224">
        <v>0.05</v>
      </c>
      <c r="J39" s="11" t="s">
        <v>210</v>
      </c>
      <c r="K39" s="11" t="s">
        <v>220</v>
      </c>
      <c r="L39" s="11">
        <v>67</v>
      </c>
      <c r="M39" s="11">
        <v>67</v>
      </c>
      <c r="N39" s="170"/>
      <c r="O39" s="170"/>
      <c r="P39" s="170"/>
      <c r="Q39" s="170"/>
    </row>
    <row r="40" spans="1:19" x14ac:dyDescent="0.25">
      <c r="A40" s="72"/>
      <c r="B40" s="72" t="s">
        <v>118</v>
      </c>
      <c r="C40" s="10" t="s">
        <v>44</v>
      </c>
      <c r="D40" s="10" t="s">
        <v>67</v>
      </c>
      <c r="E40" s="11">
        <v>0.27</v>
      </c>
      <c r="F40" s="53">
        <v>64</v>
      </c>
      <c r="G40" s="11">
        <v>6.0000000000000001E-3</v>
      </c>
      <c r="H40" s="11">
        <v>0.9</v>
      </c>
      <c r="I40" s="224">
        <v>0.05</v>
      </c>
      <c r="J40" s="11" t="s">
        <v>210</v>
      </c>
      <c r="K40" s="11" t="s">
        <v>220</v>
      </c>
      <c r="L40" s="11">
        <v>67</v>
      </c>
      <c r="M40" s="11">
        <v>67</v>
      </c>
      <c r="N40" s="170"/>
      <c r="O40" s="170">
        <v>837</v>
      </c>
      <c r="P40" s="174">
        <f t="shared" ref="P40:P48" si="3">O40*F40/1000</f>
        <v>53.567999999999998</v>
      </c>
      <c r="Q40" s="174">
        <f t="shared" ref="Q40:Q48" si="4">F40*8.72/1000</f>
        <v>0.55808000000000002</v>
      </c>
      <c r="S40" s="96"/>
    </row>
    <row r="41" spans="1:19" x14ac:dyDescent="0.25">
      <c r="A41" s="72"/>
      <c r="B41" s="72" t="s">
        <v>146</v>
      </c>
      <c r="C41" s="10" t="s">
        <v>147</v>
      </c>
      <c r="D41" s="10" t="s">
        <v>67</v>
      </c>
      <c r="E41" s="10">
        <v>0.18</v>
      </c>
      <c r="F41" s="53">
        <v>240</v>
      </c>
      <c r="G41" s="11">
        <v>6.0000000000000001E-3</v>
      </c>
      <c r="H41" s="11">
        <v>0.9</v>
      </c>
      <c r="I41" s="224">
        <v>0.05</v>
      </c>
      <c r="J41" s="11" t="s">
        <v>210</v>
      </c>
      <c r="K41" s="11" t="s">
        <v>150</v>
      </c>
      <c r="L41" s="224">
        <v>372</v>
      </c>
      <c r="M41" s="27">
        <v>372</v>
      </c>
      <c r="N41" s="170"/>
      <c r="O41" s="170">
        <v>1746</v>
      </c>
      <c r="P41" s="174">
        <f t="shared" si="3"/>
        <v>419.04</v>
      </c>
      <c r="Q41" s="174">
        <f t="shared" si="4"/>
        <v>2.0928</v>
      </c>
      <c r="S41" s="96"/>
    </row>
    <row r="42" spans="1:19" ht="12" customHeight="1" x14ac:dyDescent="0.25">
      <c r="A42" s="72"/>
      <c r="B42" s="72" t="s">
        <v>119</v>
      </c>
      <c r="C42" s="10" t="s">
        <v>142</v>
      </c>
      <c r="D42" s="10" t="s">
        <v>67</v>
      </c>
      <c r="E42" s="10">
        <v>1.57</v>
      </c>
      <c r="F42" s="53">
        <v>340</v>
      </c>
      <c r="G42" s="11">
        <v>6.0000000000000001E-3</v>
      </c>
      <c r="H42" s="11">
        <v>0.9</v>
      </c>
      <c r="I42" s="224">
        <v>0.05</v>
      </c>
      <c r="J42" s="11" t="s">
        <v>210</v>
      </c>
      <c r="K42" s="11" t="s">
        <v>117</v>
      </c>
      <c r="L42" s="11">
        <v>60</v>
      </c>
      <c r="M42" s="27">
        <v>60</v>
      </c>
      <c r="N42" s="170"/>
      <c r="O42" s="170">
        <v>1340</v>
      </c>
      <c r="P42" s="174">
        <f t="shared" si="3"/>
        <v>455.6</v>
      </c>
      <c r="Q42" s="174">
        <f t="shared" si="4"/>
        <v>2.9648000000000003</v>
      </c>
      <c r="S42" s="96"/>
    </row>
    <row r="43" spans="1:19" x14ac:dyDescent="0.25">
      <c r="A43" s="72"/>
      <c r="B43" s="72" t="s">
        <v>120</v>
      </c>
      <c r="C43" s="10" t="s">
        <v>60</v>
      </c>
      <c r="D43" s="10" t="s">
        <v>59</v>
      </c>
      <c r="E43" s="11">
        <v>0.15</v>
      </c>
      <c r="F43" s="53">
        <v>850</v>
      </c>
      <c r="G43" s="11">
        <v>6.0000000000000001E-3</v>
      </c>
      <c r="H43" s="11">
        <v>0.9</v>
      </c>
      <c r="I43" s="224">
        <v>0.05</v>
      </c>
      <c r="J43" s="11" t="s">
        <v>207</v>
      </c>
      <c r="K43" s="11" t="s">
        <v>112</v>
      </c>
      <c r="L43" s="11">
        <f>4356-L32</f>
        <v>1791</v>
      </c>
      <c r="M43" s="11">
        <f>3661-2102</f>
        <v>1559</v>
      </c>
      <c r="N43" s="170"/>
      <c r="O43" s="170">
        <v>972</v>
      </c>
      <c r="P43" s="174">
        <f t="shared" si="3"/>
        <v>826.2</v>
      </c>
      <c r="Q43" s="174">
        <f t="shared" si="4"/>
        <v>7.4120000000000008</v>
      </c>
      <c r="S43" s="96"/>
    </row>
    <row r="44" spans="1:19" x14ac:dyDescent="0.25">
      <c r="A44" s="72"/>
      <c r="B44" s="72" t="s">
        <v>121</v>
      </c>
      <c r="C44" s="10" t="s">
        <v>139</v>
      </c>
      <c r="D44" s="10" t="s">
        <v>59</v>
      </c>
      <c r="E44" s="10">
        <v>0.26</v>
      </c>
      <c r="F44" s="53">
        <v>1300</v>
      </c>
      <c r="G44" s="11">
        <v>6.0000000000000001E-3</v>
      </c>
      <c r="H44" s="11">
        <v>0.9</v>
      </c>
      <c r="I44" s="224">
        <v>0.05</v>
      </c>
      <c r="J44" s="11" t="s">
        <v>207</v>
      </c>
      <c r="K44" s="11" t="s">
        <v>138</v>
      </c>
      <c r="L44" s="11">
        <v>2173</v>
      </c>
      <c r="M44" s="27">
        <v>0</v>
      </c>
      <c r="N44" s="170"/>
      <c r="O44" s="170">
        <v>1648</v>
      </c>
      <c r="P44" s="174">
        <f>O44*F44/1000</f>
        <v>2142.4</v>
      </c>
      <c r="Q44" s="174">
        <f t="shared" si="4"/>
        <v>11.336</v>
      </c>
      <c r="S44" s="96"/>
    </row>
    <row r="45" spans="1:19" x14ac:dyDescent="0.25">
      <c r="A45" s="72"/>
      <c r="B45" s="72" t="s">
        <v>122</v>
      </c>
      <c r="C45" s="10" t="s">
        <v>140</v>
      </c>
      <c r="D45" s="10" t="s">
        <v>69</v>
      </c>
      <c r="E45" s="10">
        <v>3.74</v>
      </c>
      <c r="F45" s="53">
        <v>222</v>
      </c>
      <c r="G45" s="11">
        <v>6.0000000000000001E-3</v>
      </c>
      <c r="H45" s="11">
        <v>0.9</v>
      </c>
      <c r="I45" s="224">
        <v>0.05</v>
      </c>
      <c r="J45" s="11" t="s">
        <v>213</v>
      </c>
      <c r="K45" s="11" t="s">
        <v>141</v>
      </c>
      <c r="L45" s="224">
        <v>19</v>
      </c>
      <c r="M45" s="224">
        <v>19</v>
      </c>
      <c r="N45" s="170"/>
      <c r="O45" s="170">
        <v>2493</v>
      </c>
      <c r="P45" s="174">
        <f t="shared" si="3"/>
        <v>553.44600000000003</v>
      </c>
      <c r="Q45" s="174">
        <f t="shared" si="4"/>
        <v>1.9358400000000002</v>
      </c>
      <c r="S45" s="96"/>
    </row>
    <row r="46" spans="1:19" x14ac:dyDescent="0.25">
      <c r="A46" s="72"/>
      <c r="B46" s="72" t="s">
        <v>123</v>
      </c>
      <c r="C46" s="10" t="s">
        <v>134</v>
      </c>
      <c r="D46" s="10" t="s">
        <v>86</v>
      </c>
      <c r="E46" s="10">
        <v>0.42</v>
      </c>
      <c r="F46" s="53">
        <v>800</v>
      </c>
      <c r="G46" s="11">
        <v>6.0000000000000001E-3</v>
      </c>
      <c r="H46" s="11">
        <v>0.9</v>
      </c>
      <c r="I46" s="224">
        <v>0.05</v>
      </c>
      <c r="J46" s="11" t="s">
        <v>208</v>
      </c>
      <c r="K46" s="11" t="s">
        <v>133</v>
      </c>
      <c r="L46" s="224">
        <f>1111/2</f>
        <v>555.5</v>
      </c>
      <c r="M46" s="224">
        <f>1052/2</f>
        <v>526</v>
      </c>
      <c r="N46" s="170"/>
      <c r="O46" s="170">
        <v>2679</v>
      </c>
      <c r="P46" s="174">
        <f t="shared" si="3"/>
        <v>2143.1999999999998</v>
      </c>
      <c r="Q46" s="174">
        <f t="shared" si="4"/>
        <v>6.9760000000000009</v>
      </c>
      <c r="S46" s="96"/>
    </row>
    <row r="47" spans="1:19" x14ac:dyDescent="0.25">
      <c r="A47" s="72"/>
      <c r="B47" s="72" t="s">
        <v>124</v>
      </c>
      <c r="C47" s="10" t="s">
        <v>134</v>
      </c>
      <c r="D47" s="10" t="s">
        <v>70</v>
      </c>
      <c r="E47" s="10">
        <v>0.42</v>
      </c>
      <c r="F47" s="53">
        <v>800</v>
      </c>
      <c r="G47" s="11">
        <v>6.0000000000000001E-3</v>
      </c>
      <c r="H47" s="11">
        <v>0.9</v>
      </c>
      <c r="I47" s="224">
        <v>0.05</v>
      </c>
      <c r="J47" s="11" t="s">
        <v>209</v>
      </c>
      <c r="K47" s="11" t="s">
        <v>133</v>
      </c>
      <c r="L47" s="224">
        <f>1111/2</f>
        <v>555.5</v>
      </c>
      <c r="M47" s="224">
        <f>1052/2</f>
        <v>526</v>
      </c>
      <c r="N47" s="170"/>
      <c r="O47" s="170">
        <v>3375</v>
      </c>
      <c r="P47" s="174">
        <f t="shared" si="3"/>
        <v>2700</v>
      </c>
      <c r="Q47" s="174">
        <f t="shared" si="4"/>
        <v>6.9760000000000009</v>
      </c>
      <c r="S47" s="96"/>
    </row>
    <row r="48" spans="1:19" x14ac:dyDescent="0.25">
      <c r="A48" s="72"/>
      <c r="B48" s="72" t="s">
        <v>125</v>
      </c>
      <c r="C48" s="10" t="s">
        <v>148</v>
      </c>
      <c r="D48" s="10" t="s">
        <v>86</v>
      </c>
      <c r="E48" s="10">
        <v>0.43</v>
      </c>
      <c r="F48" s="53">
        <v>750</v>
      </c>
      <c r="G48" s="11">
        <v>6.0000000000000001E-3</v>
      </c>
      <c r="H48" s="11">
        <v>0.9</v>
      </c>
      <c r="I48" s="224">
        <v>0.05</v>
      </c>
      <c r="J48" s="11" t="s">
        <v>208</v>
      </c>
      <c r="K48" s="11" t="s">
        <v>149</v>
      </c>
      <c r="L48" s="11">
        <v>435</v>
      </c>
      <c r="M48" s="27">
        <v>300</v>
      </c>
      <c r="N48" s="170"/>
      <c r="O48" s="170">
        <v>2143</v>
      </c>
      <c r="P48" s="174">
        <f t="shared" si="3"/>
        <v>1607.25</v>
      </c>
      <c r="Q48" s="174">
        <f t="shared" si="4"/>
        <v>6.5400000000000009</v>
      </c>
      <c r="S48" s="96"/>
    </row>
    <row r="49" spans="1:19" x14ac:dyDescent="0.25">
      <c r="A49" s="216"/>
      <c r="B49" s="216" t="s">
        <v>132</v>
      </c>
      <c r="C49" s="156" t="s">
        <v>162</v>
      </c>
      <c r="D49" s="156" t="s">
        <v>86</v>
      </c>
      <c r="E49" s="156">
        <v>0.11</v>
      </c>
      <c r="F49" s="178">
        <v>120</v>
      </c>
      <c r="G49" s="156">
        <v>6.0000000000000001E-3</v>
      </c>
      <c r="H49" s="156">
        <v>0.9</v>
      </c>
      <c r="I49" s="156">
        <v>0.05</v>
      </c>
      <c r="J49" s="156" t="s">
        <v>208</v>
      </c>
      <c r="K49" s="156" t="s">
        <v>136</v>
      </c>
      <c r="L49" s="156">
        <v>312</v>
      </c>
      <c r="M49" s="225">
        <f>312*1500/5600</f>
        <v>83.571428571428569</v>
      </c>
      <c r="N49" s="176"/>
      <c r="O49" s="176">
        <v>2233</v>
      </c>
      <c r="P49" s="174">
        <f>O49*F49/1000</f>
        <v>267.95999999999998</v>
      </c>
      <c r="Q49" s="174">
        <f>F49*8.72/1000</f>
        <v>1.0464</v>
      </c>
      <c r="S49" s="96"/>
    </row>
    <row r="50" spans="1:19" x14ac:dyDescent="0.25">
      <c r="A50" s="215" t="s">
        <v>430</v>
      </c>
      <c r="B50" s="11" t="s">
        <v>61</v>
      </c>
      <c r="C50" s="11" t="s">
        <v>60</v>
      </c>
      <c r="D50" s="11" t="s">
        <v>59</v>
      </c>
      <c r="E50" s="11">
        <v>0.22</v>
      </c>
      <c r="F50" s="53">
        <v>2075</v>
      </c>
      <c r="G50" s="11">
        <v>6.0000000000000001E-3</v>
      </c>
      <c r="H50" s="11">
        <v>0.89</v>
      </c>
      <c r="I50" s="224">
        <v>0.05</v>
      </c>
      <c r="J50" s="11" t="s">
        <v>207</v>
      </c>
      <c r="K50" s="11" t="s">
        <v>112</v>
      </c>
      <c r="L50" s="224">
        <v>2565</v>
      </c>
      <c r="M50" s="224">
        <v>2102</v>
      </c>
    </row>
    <row r="51" spans="1:19" x14ac:dyDescent="0.25">
      <c r="A51" s="215"/>
      <c r="B51" s="11" t="s">
        <v>127</v>
      </c>
      <c r="C51" s="11" t="s">
        <v>297</v>
      </c>
      <c r="D51" s="11" t="s">
        <v>86</v>
      </c>
      <c r="E51" s="11">
        <v>0.21</v>
      </c>
      <c r="F51" s="53">
        <v>720</v>
      </c>
      <c r="G51" s="11">
        <v>6.0000000000000001E-3</v>
      </c>
      <c r="H51" s="18">
        <v>0.89</v>
      </c>
      <c r="I51" s="224">
        <v>0.05</v>
      </c>
      <c r="J51" s="18" t="s">
        <v>208</v>
      </c>
      <c r="K51" s="11" t="s">
        <v>64</v>
      </c>
      <c r="L51" s="53">
        <f>1925/2</f>
        <v>962.5</v>
      </c>
      <c r="M51" s="53">
        <f>1771/2</f>
        <v>885.5</v>
      </c>
    </row>
    <row r="52" spans="1:19" x14ac:dyDescent="0.25">
      <c r="A52" s="215"/>
      <c r="B52" s="11" t="s">
        <v>126</v>
      </c>
      <c r="C52" s="11" t="s">
        <v>297</v>
      </c>
      <c r="D52" s="11" t="s">
        <v>70</v>
      </c>
      <c r="E52" s="11">
        <v>0.21</v>
      </c>
      <c r="F52" s="53">
        <v>750</v>
      </c>
      <c r="G52" s="11">
        <v>6.0000000000000001E-3</v>
      </c>
      <c r="H52" s="18">
        <v>0.89</v>
      </c>
      <c r="I52" s="224">
        <v>0.05</v>
      </c>
      <c r="J52" s="18" t="s">
        <v>209</v>
      </c>
      <c r="K52" s="11" t="s">
        <v>64</v>
      </c>
      <c r="L52" s="53">
        <f>1925/2</f>
        <v>962.5</v>
      </c>
      <c r="M52" s="53">
        <f>1771/2</f>
        <v>885.5</v>
      </c>
    </row>
    <row r="53" spans="1:19" x14ac:dyDescent="0.25">
      <c r="A53" s="215"/>
      <c r="B53" s="11" t="s">
        <v>115</v>
      </c>
      <c r="C53" s="11" t="s">
        <v>116</v>
      </c>
      <c r="D53" s="11" t="s">
        <v>86</v>
      </c>
      <c r="E53" s="11">
        <v>0.95</v>
      </c>
      <c r="F53" s="53">
        <v>990</v>
      </c>
      <c r="G53" s="11">
        <v>6.0000000000000001E-3</v>
      </c>
      <c r="H53" s="11">
        <v>0.89</v>
      </c>
      <c r="I53" s="224">
        <v>0.05</v>
      </c>
      <c r="J53" s="11" t="s">
        <v>208</v>
      </c>
      <c r="K53" s="11" t="s">
        <v>113</v>
      </c>
      <c r="L53">
        <v>290</v>
      </c>
      <c r="M53">
        <v>233</v>
      </c>
    </row>
    <row r="54" spans="1:19" x14ac:dyDescent="0.25">
      <c r="A54" s="215"/>
      <c r="B54" s="11" t="s">
        <v>62</v>
      </c>
      <c r="C54" s="179" t="s">
        <v>44</v>
      </c>
      <c r="D54" s="11" t="s">
        <v>67</v>
      </c>
      <c r="E54" s="11">
        <v>0.14000000000000001</v>
      </c>
      <c r="F54" s="53">
        <v>124</v>
      </c>
      <c r="G54" s="11">
        <v>6.0000000000000001E-3</v>
      </c>
      <c r="H54" s="11">
        <v>0.86</v>
      </c>
      <c r="I54" s="224">
        <v>0.05</v>
      </c>
      <c r="J54" s="11" t="s">
        <v>210</v>
      </c>
      <c r="K54" s="10" t="s">
        <v>220</v>
      </c>
      <c r="L54" s="1">
        <v>246</v>
      </c>
      <c r="M54" s="1">
        <v>246</v>
      </c>
    </row>
    <row r="55" spans="1:19" x14ac:dyDescent="0.25">
      <c r="A55" s="215"/>
      <c r="B55" s="11" t="s">
        <v>63</v>
      </c>
      <c r="C55" s="11" t="s">
        <v>44</v>
      </c>
      <c r="D55" s="11" t="s">
        <v>70</v>
      </c>
      <c r="E55" s="27">
        <v>0.2</v>
      </c>
      <c r="F55" s="53">
        <v>108</v>
      </c>
      <c r="G55" s="11">
        <v>6.0000000000000001E-3</v>
      </c>
      <c r="H55" s="11">
        <v>0.9</v>
      </c>
      <c r="I55" s="224">
        <v>0.05</v>
      </c>
      <c r="J55" s="11" t="s">
        <v>209</v>
      </c>
      <c r="K55" s="11" t="s">
        <v>64</v>
      </c>
      <c r="L55" s="224">
        <f>F55/(E55*3.6)</f>
        <v>149.99999999999997</v>
      </c>
      <c r="M55" s="224">
        <v>150</v>
      </c>
    </row>
    <row r="56" spans="1:19" x14ac:dyDescent="0.25">
      <c r="A56" s="215"/>
      <c r="B56" s="11" t="s">
        <v>57</v>
      </c>
      <c r="C56" s="11" t="s">
        <v>44</v>
      </c>
      <c r="D56" s="11" t="s">
        <v>67</v>
      </c>
      <c r="E56" s="11">
        <v>0.16</v>
      </c>
      <c r="F56" s="53">
        <v>90</v>
      </c>
      <c r="G56" s="11">
        <v>6.0000000000000001E-3</v>
      </c>
      <c r="H56" s="11">
        <v>0.86</v>
      </c>
      <c r="I56" s="224">
        <v>0.05</v>
      </c>
      <c r="J56" s="11" t="s">
        <v>210</v>
      </c>
      <c r="K56" s="10" t="s">
        <v>220</v>
      </c>
      <c r="L56" s="10">
        <v>156</v>
      </c>
      <c r="M56" s="10">
        <v>156</v>
      </c>
    </row>
    <row r="57" spans="1:19" x14ac:dyDescent="0.25">
      <c r="A57" s="215"/>
      <c r="B57" s="11" t="s">
        <v>58</v>
      </c>
      <c r="C57" s="11" t="s">
        <v>44</v>
      </c>
      <c r="D57" s="11" t="s">
        <v>67</v>
      </c>
      <c r="E57" s="11">
        <v>0.27</v>
      </c>
      <c r="F57" s="53">
        <v>64</v>
      </c>
      <c r="G57" s="11">
        <v>6.0000000000000001E-3</v>
      </c>
      <c r="H57" s="11">
        <v>0.89</v>
      </c>
      <c r="I57" s="224">
        <v>0.05</v>
      </c>
      <c r="J57" s="11" t="s">
        <v>210</v>
      </c>
      <c r="K57" s="11" t="s">
        <v>220</v>
      </c>
      <c r="L57" s="224">
        <v>67</v>
      </c>
      <c r="M57" s="224">
        <v>67</v>
      </c>
    </row>
    <row r="58" spans="1:19" x14ac:dyDescent="0.25">
      <c r="A58" s="215"/>
      <c r="B58" s="215" t="s">
        <v>118</v>
      </c>
      <c r="C58" s="10" t="s">
        <v>44</v>
      </c>
      <c r="D58" s="10" t="s">
        <v>67</v>
      </c>
      <c r="E58" s="11">
        <v>0.27</v>
      </c>
      <c r="F58" s="53">
        <f t="shared" ref="F58:F59" si="5">N58*24*30/1000</f>
        <v>0</v>
      </c>
      <c r="G58" s="11">
        <v>6.0000000000000001E-3</v>
      </c>
      <c r="H58" s="11">
        <v>0.9</v>
      </c>
      <c r="I58" s="224">
        <v>0.05</v>
      </c>
      <c r="J58" s="11" t="s">
        <v>210</v>
      </c>
      <c r="K58" s="11" t="s">
        <v>220</v>
      </c>
      <c r="L58" s="224">
        <v>67</v>
      </c>
      <c r="M58" s="224">
        <v>67</v>
      </c>
    </row>
    <row r="59" spans="1:19" x14ac:dyDescent="0.25">
      <c r="A59" s="215"/>
      <c r="B59" s="215" t="s">
        <v>146</v>
      </c>
      <c r="C59" s="10" t="s">
        <v>147</v>
      </c>
      <c r="D59" s="10" t="s">
        <v>67</v>
      </c>
      <c r="E59" s="10">
        <v>0.18</v>
      </c>
      <c r="F59" s="53">
        <f t="shared" si="5"/>
        <v>0</v>
      </c>
      <c r="G59" s="11">
        <v>6.0000000000000001E-3</v>
      </c>
      <c r="H59" s="11">
        <v>0.9</v>
      </c>
      <c r="I59" s="224">
        <v>0.05</v>
      </c>
      <c r="J59" s="11" t="s">
        <v>210</v>
      </c>
      <c r="K59" s="11" t="s">
        <v>150</v>
      </c>
      <c r="L59" s="224">
        <v>372</v>
      </c>
      <c r="M59" s="27">
        <v>372</v>
      </c>
    </row>
    <row r="60" spans="1:19" x14ac:dyDescent="0.25">
      <c r="A60" s="215"/>
      <c r="B60" s="215" t="s">
        <v>119</v>
      </c>
      <c r="C60" s="10" t="s">
        <v>142</v>
      </c>
      <c r="D60" s="10" t="s">
        <v>67</v>
      </c>
      <c r="E60" s="10">
        <v>1.57</v>
      </c>
      <c r="F60" s="53">
        <f>N60*24*30/1000</f>
        <v>0</v>
      </c>
      <c r="G60" s="11">
        <v>6.0000000000000001E-3</v>
      </c>
      <c r="H60" s="11">
        <v>0.9</v>
      </c>
      <c r="I60" s="224">
        <v>0.05</v>
      </c>
      <c r="J60" s="11" t="s">
        <v>210</v>
      </c>
      <c r="K60" s="11" t="s">
        <v>117</v>
      </c>
      <c r="L60" s="224">
        <v>60</v>
      </c>
      <c r="M60" s="27">
        <v>60</v>
      </c>
    </row>
    <row r="61" spans="1:19" x14ac:dyDescent="0.25">
      <c r="A61" s="215"/>
      <c r="B61" s="215" t="s">
        <v>120</v>
      </c>
      <c r="C61" s="10" t="s">
        <v>60</v>
      </c>
      <c r="D61" s="10" t="s">
        <v>59</v>
      </c>
      <c r="E61" s="11">
        <v>0.14000000000000001</v>
      </c>
      <c r="F61" s="53">
        <f t="shared" ref="F61:F67" si="6">N61*24*30/1000</f>
        <v>0</v>
      </c>
      <c r="G61" s="11">
        <v>6.0000000000000001E-3</v>
      </c>
      <c r="H61" s="11">
        <v>0.9</v>
      </c>
      <c r="I61" s="224">
        <v>0.05</v>
      </c>
      <c r="J61" s="11" t="s">
        <v>207</v>
      </c>
      <c r="K61" s="11" t="s">
        <v>112</v>
      </c>
      <c r="L61" s="224">
        <f>4356-L50</f>
        <v>1791</v>
      </c>
      <c r="M61" s="224">
        <f>3661-2102</f>
        <v>1559</v>
      </c>
    </row>
    <row r="62" spans="1:19" x14ac:dyDescent="0.25">
      <c r="A62" s="215"/>
      <c r="B62" s="215" t="s">
        <v>121</v>
      </c>
      <c r="C62" s="10" t="s">
        <v>139</v>
      </c>
      <c r="D62" s="10" t="s">
        <v>59</v>
      </c>
      <c r="E62" s="10">
        <v>0.26</v>
      </c>
      <c r="F62" s="53">
        <f t="shared" si="6"/>
        <v>0</v>
      </c>
      <c r="G62" s="11">
        <v>6.0000000000000001E-3</v>
      </c>
      <c r="H62" s="11">
        <v>0.9</v>
      </c>
      <c r="I62" s="224">
        <v>0.05</v>
      </c>
      <c r="J62" s="11" t="s">
        <v>207</v>
      </c>
      <c r="K62" s="11" t="s">
        <v>138</v>
      </c>
      <c r="L62" s="224">
        <v>2173</v>
      </c>
      <c r="M62" s="27">
        <v>0</v>
      </c>
    </row>
    <row r="63" spans="1:19" x14ac:dyDescent="0.25">
      <c r="A63" s="215"/>
      <c r="B63" s="215" t="s">
        <v>122</v>
      </c>
      <c r="C63" s="10" t="s">
        <v>140</v>
      </c>
      <c r="D63" s="10" t="s">
        <v>69</v>
      </c>
      <c r="E63" s="10">
        <v>3.74</v>
      </c>
      <c r="F63" s="53">
        <f t="shared" si="6"/>
        <v>0</v>
      </c>
      <c r="G63" s="11">
        <v>6.0000000000000001E-3</v>
      </c>
      <c r="H63" s="11">
        <v>0.9</v>
      </c>
      <c r="I63" s="224">
        <v>0.05</v>
      </c>
      <c r="J63" s="11" t="s">
        <v>213</v>
      </c>
      <c r="K63" s="11" t="s">
        <v>141</v>
      </c>
      <c r="L63" s="224">
        <v>19</v>
      </c>
      <c r="M63" s="224">
        <v>19</v>
      </c>
    </row>
    <row r="64" spans="1:19" x14ac:dyDescent="0.25">
      <c r="A64" s="215"/>
      <c r="B64" s="215" t="s">
        <v>123</v>
      </c>
      <c r="C64" s="10" t="s">
        <v>134</v>
      </c>
      <c r="D64" s="10" t="s">
        <v>86</v>
      </c>
      <c r="E64" s="10">
        <v>0.42</v>
      </c>
      <c r="F64" s="53">
        <f t="shared" si="6"/>
        <v>0</v>
      </c>
      <c r="G64" s="11">
        <v>6.0000000000000001E-3</v>
      </c>
      <c r="H64" s="11">
        <v>0.9</v>
      </c>
      <c r="I64" s="224">
        <v>0.05</v>
      </c>
      <c r="J64" s="11" t="s">
        <v>208</v>
      </c>
      <c r="K64" s="11" t="s">
        <v>133</v>
      </c>
      <c r="L64" s="224">
        <f>1111/2</f>
        <v>555.5</v>
      </c>
      <c r="M64" s="224">
        <f>1052/2</f>
        <v>526</v>
      </c>
    </row>
    <row r="65" spans="1:17" x14ac:dyDescent="0.25">
      <c r="A65" s="215"/>
      <c r="B65" s="215" t="s">
        <v>124</v>
      </c>
      <c r="C65" s="10" t="s">
        <v>134</v>
      </c>
      <c r="D65" s="10" t="s">
        <v>70</v>
      </c>
      <c r="E65" s="10">
        <v>0.42</v>
      </c>
      <c r="F65" s="53">
        <f t="shared" si="6"/>
        <v>0</v>
      </c>
      <c r="G65" s="11">
        <v>6.0000000000000001E-3</v>
      </c>
      <c r="H65" s="11">
        <v>0.9</v>
      </c>
      <c r="I65" s="224">
        <v>0.05</v>
      </c>
      <c r="J65" s="11" t="s">
        <v>209</v>
      </c>
      <c r="K65" s="11" t="s">
        <v>133</v>
      </c>
      <c r="L65" s="224">
        <f>1111/2</f>
        <v>555.5</v>
      </c>
      <c r="M65" s="224">
        <f>1052/2</f>
        <v>526</v>
      </c>
    </row>
    <row r="66" spans="1:17" x14ac:dyDescent="0.25">
      <c r="A66" s="215"/>
      <c r="B66" s="215" t="s">
        <v>125</v>
      </c>
      <c r="C66" s="10" t="s">
        <v>148</v>
      </c>
      <c r="D66" s="10" t="s">
        <v>86</v>
      </c>
      <c r="E66" s="10">
        <v>0.43</v>
      </c>
      <c r="F66" s="53">
        <f t="shared" si="6"/>
        <v>0</v>
      </c>
      <c r="G66" s="11">
        <v>6.0000000000000001E-3</v>
      </c>
      <c r="H66" s="11">
        <v>0.9</v>
      </c>
      <c r="I66" s="224">
        <v>0.05</v>
      </c>
      <c r="J66" s="11" t="s">
        <v>208</v>
      </c>
      <c r="K66" s="11" t="s">
        <v>149</v>
      </c>
      <c r="L66" s="224">
        <v>435</v>
      </c>
      <c r="M66" s="27">
        <v>300</v>
      </c>
    </row>
    <row r="67" spans="1:17" x14ac:dyDescent="0.25">
      <c r="A67" s="215"/>
      <c r="B67" s="215" t="s">
        <v>132</v>
      </c>
      <c r="C67" s="10" t="s">
        <v>162</v>
      </c>
      <c r="D67" s="10" t="s">
        <v>86</v>
      </c>
      <c r="E67" s="10">
        <v>0.11</v>
      </c>
      <c r="F67" s="53">
        <f t="shared" si="6"/>
        <v>0</v>
      </c>
      <c r="G67" s="11">
        <v>6.0000000000000001E-3</v>
      </c>
      <c r="H67" s="11">
        <v>0.9</v>
      </c>
      <c r="I67" s="224">
        <v>0.05</v>
      </c>
      <c r="J67" s="11" t="s">
        <v>208</v>
      </c>
      <c r="K67" s="11" t="s">
        <v>136</v>
      </c>
      <c r="L67" s="224">
        <v>312</v>
      </c>
      <c r="M67" s="256">
        <f>312*1500/5600</f>
        <v>83.571428571428569</v>
      </c>
    </row>
    <row r="68" spans="1:17" x14ac:dyDescent="0.25">
      <c r="A68" s="215"/>
      <c r="B68" s="259" t="s">
        <v>526</v>
      </c>
      <c r="C68" s="11" t="s">
        <v>297</v>
      </c>
      <c r="D68" s="10" t="s">
        <v>86</v>
      </c>
      <c r="E68" s="11">
        <v>0.21</v>
      </c>
      <c r="F68" s="53">
        <f>N68*24*30/1000</f>
        <v>0</v>
      </c>
      <c r="G68" s="11">
        <v>6.0000000000000001E-3</v>
      </c>
      <c r="H68" s="11">
        <v>0.89</v>
      </c>
      <c r="I68" s="224">
        <v>0.05</v>
      </c>
      <c r="J68" s="11" t="s">
        <v>208</v>
      </c>
      <c r="K68" s="11" t="s">
        <v>64</v>
      </c>
      <c r="L68" s="53">
        <f>L33-L51</f>
        <v>648.70000000000005</v>
      </c>
      <c r="M68" s="53">
        <f>M33-M51</f>
        <v>592.36666666666656</v>
      </c>
    </row>
    <row r="69" spans="1:17" x14ac:dyDescent="0.25">
      <c r="A69" s="215"/>
      <c r="B69" s="259" t="s">
        <v>527</v>
      </c>
      <c r="C69" s="11" t="s">
        <v>297</v>
      </c>
      <c r="D69" s="10" t="s">
        <v>70</v>
      </c>
      <c r="E69" s="11">
        <v>0.21</v>
      </c>
      <c r="F69" s="53">
        <f>N69*24*30/1000</f>
        <v>0</v>
      </c>
      <c r="G69" s="11">
        <v>6.0000000000000001E-3</v>
      </c>
      <c r="H69" s="11">
        <v>0.89</v>
      </c>
      <c r="I69" s="224">
        <v>0.05</v>
      </c>
      <c r="J69" s="11" t="s">
        <v>209</v>
      </c>
      <c r="K69" s="11" t="s">
        <v>64</v>
      </c>
      <c r="L69" s="53">
        <f>L34-L52</f>
        <v>447.29999999999995</v>
      </c>
      <c r="M69" s="53">
        <f>M34-M52</f>
        <v>407.63333333333344</v>
      </c>
    </row>
    <row r="70" spans="1:17" x14ac:dyDescent="0.25">
      <c r="A70" s="258"/>
      <c r="B70" s="260" t="s">
        <v>528</v>
      </c>
      <c r="C70" s="156" t="s">
        <v>116</v>
      </c>
      <c r="D70" s="156" t="s">
        <v>86</v>
      </c>
      <c r="E70" s="156">
        <v>0.95</v>
      </c>
      <c r="F70" s="178">
        <v>0</v>
      </c>
      <c r="G70" s="156">
        <v>6.0000000000000001E-3</v>
      </c>
      <c r="H70" s="156">
        <v>0.89</v>
      </c>
      <c r="I70" s="156">
        <v>0.05</v>
      </c>
      <c r="J70" s="156" t="s">
        <v>208</v>
      </c>
      <c r="K70" s="156" t="s">
        <v>113</v>
      </c>
      <c r="L70" s="251">
        <f>L35-L26</f>
        <v>43.939393939393938</v>
      </c>
      <c r="M70" s="251">
        <f>M35-M26</f>
        <v>35.303030303030312</v>
      </c>
      <c r="N70" s="198"/>
      <c r="O70" s="198"/>
      <c r="P70" s="198"/>
      <c r="Q70" s="19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showGridLines="0" tabSelected="1" workbookViewId="0">
      <selection activeCell="F19" sqref="F19"/>
    </sheetView>
  </sheetViews>
  <sheetFormatPr defaultRowHeight="11.5" x14ac:dyDescent="0.25"/>
  <cols>
    <col min="1" max="1" width="13.26953125" customWidth="1"/>
    <col min="2" max="5" width="15.7265625" customWidth="1"/>
  </cols>
  <sheetData>
    <row r="1" spans="1:4" ht="19.5" x14ac:dyDescent="0.35">
      <c r="A1" s="6" t="s">
        <v>218</v>
      </c>
    </row>
    <row r="2" spans="1:4" x14ac:dyDescent="0.25">
      <c r="A2" s="5" t="s">
        <v>374</v>
      </c>
    </row>
    <row r="3" spans="1:4" x14ac:dyDescent="0.25">
      <c r="A3" s="5"/>
    </row>
    <row r="4" spans="1:4" x14ac:dyDescent="0.25">
      <c r="A4" s="148" t="s">
        <v>128</v>
      </c>
      <c r="B4" s="65"/>
      <c r="C4" s="65"/>
      <c r="D4" s="157"/>
    </row>
    <row r="5" spans="1:4" x14ac:dyDescent="0.25">
      <c r="A5" s="8"/>
      <c r="B5" s="8"/>
      <c r="C5" s="8"/>
      <c r="D5" s="158"/>
    </row>
    <row r="6" spans="1:4" x14ac:dyDescent="0.25">
      <c r="A6" t="s">
        <v>377</v>
      </c>
      <c r="B6" s="2"/>
      <c r="C6" s="2"/>
      <c r="D6" s="159"/>
    </row>
    <row r="7" spans="1:4" x14ac:dyDescent="0.25">
      <c r="A7" t="s">
        <v>379</v>
      </c>
      <c r="B7" s="2"/>
      <c r="C7" s="2"/>
      <c r="D7" s="159"/>
    </row>
    <row r="8" spans="1:4" x14ac:dyDescent="0.25">
      <c r="A8" s="8" t="s">
        <v>378</v>
      </c>
      <c r="B8" s="2"/>
      <c r="C8" s="2"/>
      <c r="D8" s="159"/>
    </row>
    <row r="9" spans="1:4" x14ac:dyDescent="0.25">
      <c r="A9" s="8"/>
      <c r="B9" s="88"/>
      <c r="C9" s="8"/>
      <c r="D9" s="158"/>
    </row>
    <row r="10" spans="1:4" x14ac:dyDescent="0.25">
      <c r="A10" s="147" t="s">
        <v>426</v>
      </c>
      <c r="B10" s="8"/>
      <c r="C10" s="8"/>
      <c r="D10" s="158"/>
    </row>
    <row r="11" spans="1:4" x14ac:dyDescent="0.25">
      <c r="A11" s="214" t="s">
        <v>427</v>
      </c>
      <c r="D11" s="160"/>
    </row>
    <row r="12" spans="1:4" x14ac:dyDescent="0.25">
      <c r="A12" s="214" t="s">
        <v>428</v>
      </c>
      <c r="B12" s="8"/>
      <c r="C12" s="8"/>
      <c r="D12" s="158"/>
    </row>
    <row r="13" spans="1:4" x14ac:dyDescent="0.25">
      <c r="A13" s="214" t="s">
        <v>429</v>
      </c>
      <c r="B13" s="8">
        <f>0.66*0.02+0.34*0.2</f>
        <v>8.1200000000000008E-2</v>
      </c>
      <c r="C13" s="8"/>
      <c r="D13" s="158"/>
    </row>
    <row r="14" spans="1:4" x14ac:dyDescent="0.25">
      <c r="B14" s="23"/>
      <c r="C14" s="23"/>
      <c r="D14" s="158"/>
    </row>
    <row r="15" spans="1:4" x14ac:dyDescent="0.25">
      <c r="B15" s="8"/>
      <c r="C15" s="8"/>
      <c r="D15" s="158"/>
    </row>
    <row r="16" spans="1:4" x14ac:dyDescent="0.25">
      <c r="B16" s="84"/>
      <c r="C16" s="84"/>
      <c r="D16" s="161"/>
    </row>
    <row r="17" spans="1:5" x14ac:dyDescent="0.25">
      <c r="A17" s="8"/>
      <c r="B17" s="8"/>
      <c r="C17" s="8"/>
      <c r="D17" s="158"/>
    </row>
    <row r="18" spans="1:5" x14ac:dyDescent="0.25">
      <c r="A18" s="59"/>
      <c r="B18" s="59"/>
      <c r="C18" s="59"/>
      <c r="D18" s="162"/>
    </row>
    <row r="19" spans="1:5" x14ac:dyDescent="0.25">
      <c r="A19" s="5"/>
    </row>
    <row r="20" spans="1:5" ht="34.5" x14ac:dyDescent="0.25">
      <c r="A20" s="70"/>
      <c r="B20" s="9" t="s">
        <v>373</v>
      </c>
      <c r="C20" s="9" t="s">
        <v>422</v>
      </c>
      <c r="D20" s="180" t="s">
        <v>375</v>
      </c>
      <c r="E20" s="69"/>
    </row>
    <row r="21" spans="1:5" x14ac:dyDescent="0.25">
      <c r="A21" s="3" t="s">
        <v>3</v>
      </c>
      <c r="B21" s="2" t="s">
        <v>2</v>
      </c>
      <c r="C21" s="2" t="s">
        <v>344</v>
      </c>
      <c r="D21" s="213" t="s">
        <v>424</v>
      </c>
    </row>
    <row r="22" spans="1:5" x14ac:dyDescent="0.25">
      <c r="A22" s="68" t="s">
        <v>87</v>
      </c>
      <c r="B22" s="8" t="s">
        <v>217</v>
      </c>
      <c r="C22" t="s">
        <v>423</v>
      </c>
      <c r="D22" s="181" t="s">
        <v>328</v>
      </c>
      <c r="E22" s="8"/>
    </row>
    <row r="23" spans="1:5" x14ac:dyDescent="0.25">
      <c r="A23" s="1" t="s">
        <v>65</v>
      </c>
      <c r="B23" s="1" t="s">
        <v>216</v>
      </c>
      <c r="C23">
        <v>0.08</v>
      </c>
      <c r="D23" s="181">
        <v>6</v>
      </c>
      <c r="E23" s="142"/>
    </row>
    <row r="24" spans="1:5" x14ac:dyDescent="0.25">
      <c r="A24" s="1" t="s">
        <v>66</v>
      </c>
      <c r="B24" s="1" t="s">
        <v>215</v>
      </c>
      <c r="C24">
        <v>0.08</v>
      </c>
      <c r="D24" s="181">
        <v>7</v>
      </c>
      <c r="E24" s="142"/>
    </row>
    <row r="25" spans="1:5" x14ac:dyDescent="0.25">
      <c r="A25" t="s">
        <v>67</v>
      </c>
      <c r="B25" t="s">
        <v>210</v>
      </c>
      <c r="C25">
        <v>0.08</v>
      </c>
      <c r="D25" s="181">
        <v>6.8</v>
      </c>
      <c r="E25" s="142"/>
    </row>
    <row r="26" spans="1:5" x14ac:dyDescent="0.25">
      <c r="A26" t="s">
        <v>59</v>
      </c>
      <c r="B26" t="s">
        <v>207</v>
      </c>
      <c r="C26">
        <v>0.08</v>
      </c>
      <c r="D26" s="181">
        <v>7.5</v>
      </c>
      <c r="E26" s="142"/>
    </row>
    <row r="27" spans="1:5" x14ac:dyDescent="0.25">
      <c r="A27" t="s">
        <v>68</v>
      </c>
      <c r="B27" t="s">
        <v>214</v>
      </c>
      <c r="C27">
        <v>0.08</v>
      </c>
      <c r="D27" s="181">
        <v>8.6</v>
      </c>
      <c r="E27" s="142"/>
    </row>
    <row r="28" spans="1:5" x14ac:dyDescent="0.25">
      <c r="A28" t="s">
        <v>69</v>
      </c>
      <c r="B28" t="s">
        <v>213</v>
      </c>
      <c r="C28">
        <v>0.08</v>
      </c>
      <c r="D28" s="181">
        <v>8.1999999999999993</v>
      </c>
      <c r="E28" s="142"/>
    </row>
    <row r="29" spans="1:5" x14ac:dyDescent="0.25">
      <c r="A29" t="s">
        <v>86</v>
      </c>
      <c r="B29" t="s">
        <v>208</v>
      </c>
      <c r="C29">
        <v>0.08</v>
      </c>
      <c r="D29" s="181">
        <v>5.7</v>
      </c>
      <c r="E29" s="142"/>
    </row>
    <row r="30" spans="1:5" x14ac:dyDescent="0.25">
      <c r="A30" t="s">
        <v>70</v>
      </c>
      <c r="B30" t="s">
        <v>209</v>
      </c>
      <c r="C30">
        <v>0.08</v>
      </c>
      <c r="D30" s="181">
        <v>9.8000000000000007</v>
      </c>
      <c r="E30" s="142"/>
    </row>
    <row r="31" spans="1:5" x14ac:dyDescent="0.25">
      <c r="A31" t="s">
        <v>77</v>
      </c>
      <c r="B31" t="s">
        <v>212</v>
      </c>
      <c r="C31">
        <v>0.08</v>
      </c>
      <c r="D31" s="181">
        <v>8.6999999999999993</v>
      </c>
      <c r="E31" s="142"/>
    </row>
    <row r="32" spans="1:5" x14ac:dyDescent="0.25">
      <c r="D32" s="143"/>
    </row>
    <row r="38" spans="2:3" x14ac:dyDescent="0.25">
      <c r="B38" s="45"/>
      <c r="C38" s="45"/>
    </row>
    <row r="39" spans="2:3" x14ac:dyDescent="0.25">
      <c r="B39" s="45"/>
      <c r="C39" s="45"/>
    </row>
    <row r="40" spans="2:3" x14ac:dyDescent="0.25">
      <c r="B40" s="45"/>
      <c r="C40" s="45"/>
    </row>
    <row r="41" spans="2:3" x14ac:dyDescent="0.25">
      <c r="C41" s="45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2"/>
  <sheetViews>
    <sheetView showGridLines="0" topLeftCell="A4" zoomScale="85" zoomScaleNormal="85" workbookViewId="0">
      <selection activeCell="H13" sqref="H13"/>
    </sheetView>
  </sheetViews>
  <sheetFormatPr defaultRowHeight="11.5" x14ac:dyDescent="0.25"/>
  <cols>
    <col min="3" max="3" width="13.90625" customWidth="1"/>
    <col min="4" max="4" width="11.453125" customWidth="1"/>
    <col min="5" max="7" width="14.7265625" customWidth="1"/>
    <col min="8" max="12" width="13.08984375" customWidth="1"/>
    <col min="13" max="13" width="11.90625" customWidth="1"/>
  </cols>
  <sheetData>
    <row r="1" spans="2:22" ht="19.5" x14ac:dyDescent="0.35">
      <c r="B1" s="6" t="s">
        <v>450</v>
      </c>
    </row>
    <row r="2" spans="2:22" x14ac:dyDescent="0.25">
      <c r="B2" s="5" t="s">
        <v>333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22" x14ac:dyDescent="0.25">
      <c r="B3" s="5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6"/>
    </row>
    <row r="4" spans="2:22" x14ac:dyDescent="0.25">
      <c r="B4" s="148" t="s">
        <v>128</v>
      </c>
      <c r="C4" s="65"/>
      <c r="D4" s="65"/>
      <c r="E4" s="157"/>
      <c r="F4" s="155" t="s">
        <v>130</v>
      </c>
      <c r="G4" s="155"/>
      <c r="H4" s="33"/>
      <c r="I4" s="33"/>
      <c r="J4" s="33"/>
      <c r="K4" s="182"/>
    </row>
    <row r="5" spans="2:22" x14ac:dyDescent="0.25">
      <c r="B5" s="8"/>
      <c r="C5" s="8"/>
      <c r="D5" s="8"/>
      <c r="E5" s="158"/>
      <c r="F5" s="8"/>
      <c r="G5" s="8"/>
      <c r="H5" s="8"/>
      <c r="I5" s="8"/>
      <c r="K5" s="160"/>
    </row>
    <row r="6" spans="2:22" x14ac:dyDescent="0.25">
      <c r="B6" t="s">
        <v>425</v>
      </c>
      <c r="C6" s="2"/>
      <c r="D6" s="2"/>
      <c r="E6" s="159"/>
      <c r="H6" s="8"/>
      <c r="I6" t="s">
        <v>302</v>
      </c>
      <c r="J6" s="24" t="s">
        <v>303</v>
      </c>
      <c r="K6" s="183" t="s">
        <v>309</v>
      </c>
      <c r="R6" s="86"/>
      <c r="T6" s="86"/>
      <c r="U6" s="86"/>
      <c r="V6" s="85"/>
    </row>
    <row r="7" spans="2:22" x14ac:dyDescent="0.25">
      <c r="B7" s="8" t="s">
        <v>336</v>
      </c>
      <c r="C7" s="2"/>
      <c r="D7" s="2"/>
      <c r="E7" s="159"/>
      <c r="H7" s="8" t="s">
        <v>298</v>
      </c>
      <c r="I7" s="89" t="e">
        <f>#REF!/12/35/0.7</f>
        <v>#REF!</v>
      </c>
      <c r="J7" s="89" t="e">
        <f>#REF!/12/25/0.95</f>
        <v>#REF!</v>
      </c>
      <c r="K7" s="184" t="e">
        <f>#REF!/12/25/0.25</f>
        <v>#REF!</v>
      </c>
      <c r="R7" s="86"/>
      <c r="T7" s="86"/>
      <c r="U7" s="86"/>
      <c r="V7" s="86"/>
    </row>
    <row r="8" spans="2:22" x14ac:dyDescent="0.25">
      <c r="C8" s="2"/>
      <c r="D8" s="2"/>
      <c r="E8" s="159"/>
      <c r="H8" s="8" t="s">
        <v>299</v>
      </c>
      <c r="I8" s="8">
        <f>E26/365/0.7</f>
        <v>9.1324200913241998E-5</v>
      </c>
      <c r="J8" s="8">
        <f>E35/365/0.95</f>
        <v>6.200432588320116E-5</v>
      </c>
      <c r="K8" s="158">
        <f>E42/365/0.25</f>
        <v>1.0958904109589041E-4</v>
      </c>
    </row>
    <row r="9" spans="2:22" x14ac:dyDescent="0.25">
      <c r="B9" s="8" t="s">
        <v>452</v>
      </c>
      <c r="C9" s="88"/>
      <c r="D9" s="8"/>
      <c r="E9" s="158"/>
      <c r="H9" s="8" t="s">
        <v>307</v>
      </c>
      <c r="I9" t="str">
        <f>D21</f>
        <v>$/KWh</v>
      </c>
      <c r="J9">
        <f>D30</f>
        <v>1.4999999999999999E-2</v>
      </c>
      <c r="K9" s="158">
        <f>D41</f>
        <v>0.02</v>
      </c>
    </row>
    <row r="10" spans="2:22" x14ac:dyDescent="0.25">
      <c r="B10" s="8" t="s">
        <v>335</v>
      </c>
      <c r="C10" s="8"/>
      <c r="D10" s="8"/>
      <c r="E10" s="158"/>
      <c r="H10" s="8" t="s">
        <v>300</v>
      </c>
      <c r="I10" s="8">
        <f>0.022/J26</f>
        <v>5.9459459459459456E-2</v>
      </c>
      <c r="J10" s="8">
        <f>0.04/J30</f>
        <v>0.10810810810810811</v>
      </c>
      <c r="K10" s="158">
        <f>0</f>
        <v>0</v>
      </c>
    </row>
    <row r="11" spans="2:22" x14ac:dyDescent="0.25">
      <c r="B11" s="147" t="s">
        <v>331</v>
      </c>
      <c r="E11" s="160"/>
      <c r="H11" s="8" t="s">
        <v>301</v>
      </c>
      <c r="I11" s="89" t="e">
        <f>SUM(I7:I10)</f>
        <v>#REF!</v>
      </c>
      <c r="J11" s="89" t="e">
        <f>SUM(J7:J10)</f>
        <v>#REF!</v>
      </c>
      <c r="K11" s="184" t="e">
        <f>SUM(K7:K10)</f>
        <v>#REF!</v>
      </c>
    </row>
    <row r="12" spans="2:22" x14ac:dyDescent="0.25">
      <c r="B12" s="8"/>
      <c r="C12" s="8"/>
      <c r="D12" s="8"/>
      <c r="E12" s="158"/>
      <c r="I12" s="85"/>
      <c r="J12" s="85"/>
      <c r="K12" s="185"/>
    </row>
    <row r="13" spans="2:22" x14ac:dyDescent="0.25">
      <c r="B13" s="84" t="s">
        <v>330</v>
      </c>
      <c r="C13" s="8"/>
      <c r="D13" s="8"/>
      <c r="E13" s="158"/>
      <c r="I13" s="85"/>
      <c r="J13" s="85"/>
      <c r="K13" s="185"/>
    </row>
    <row r="14" spans="2:22" x14ac:dyDescent="0.25">
      <c r="C14" s="23"/>
      <c r="D14" s="23"/>
      <c r="E14" s="158"/>
      <c r="F14" s="85"/>
      <c r="G14" s="85" t="s">
        <v>534</v>
      </c>
      <c r="H14" s="85"/>
      <c r="I14" s="8"/>
      <c r="J14" s="8"/>
      <c r="K14" s="185"/>
    </row>
    <row r="15" spans="2:22" x14ac:dyDescent="0.25">
      <c r="C15" s="8"/>
      <c r="D15" s="8"/>
      <c r="E15" s="158"/>
      <c r="F15" s="85"/>
      <c r="G15" s="85"/>
      <c r="H15" s="85"/>
      <c r="I15" s="8"/>
      <c r="J15" s="8"/>
      <c r="K15" s="185"/>
    </row>
    <row r="16" spans="2:22" x14ac:dyDescent="0.25">
      <c r="C16" s="84"/>
      <c r="D16" s="84"/>
      <c r="E16" s="161"/>
      <c r="F16" s="8"/>
      <c r="G16" s="8"/>
      <c r="H16" s="8"/>
      <c r="I16" s="8"/>
      <c r="J16" s="8"/>
      <c r="K16" s="185"/>
    </row>
    <row r="17" spans="1:13" x14ac:dyDescent="0.25">
      <c r="B17" s="8"/>
      <c r="C17" s="8"/>
      <c r="D17" s="8"/>
      <c r="E17" s="158"/>
      <c r="F17" s="8"/>
      <c r="G17" s="8"/>
      <c r="H17" s="8"/>
      <c r="I17" s="8"/>
      <c r="J17" s="8"/>
      <c r="K17" s="158"/>
    </row>
    <row r="18" spans="1:13" x14ac:dyDescent="0.25">
      <c r="B18" s="59"/>
      <c r="C18" s="59"/>
      <c r="D18" s="59"/>
      <c r="E18" s="162"/>
      <c r="F18" s="156"/>
      <c r="G18" s="156"/>
      <c r="H18" s="38"/>
      <c r="I18" s="38"/>
      <c r="J18" s="38"/>
      <c r="K18" s="186"/>
    </row>
    <row r="20" spans="1:13" ht="57.5" x14ac:dyDescent="0.25">
      <c r="B20" s="9" t="s">
        <v>293</v>
      </c>
      <c r="C20" s="9" t="s">
        <v>332</v>
      </c>
      <c r="D20" s="9" t="s">
        <v>334</v>
      </c>
      <c r="E20" s="9" t="s">
        <v>288</v>
      </c>
      <c r="F20" s="144" t="s">
        <v>257</v>
      </c>
      <c r="G20" s="144" t="s">
        <v>511</v>
      </c>
      <c r="H20" s="9" t="s">
        <v>263</v>
      </c>
      <c r="I20" s="117" t="s">
        <v>287</v>
      </c>
      <c r="J20" s="117" t="s">
        <v>285</v>
      </c>
      <c r="K20" s="249" t="s">
        <v>509</v>
      </c>
      <c r="L20" s="145" t="s">
        <v>234</v>
      </c>
      <c r="M20" s="146"/>
    </row>
    <row r="21" spans="1:13" x14ac:dyDescent="0.25">
      <c r="B21" s="3"/>
      <c r="D21" s="2" t="s">
        <v>233</v>
      </c>
      <c r="E21" s="2" t="s">
        <v>440</v>
      </c>
      <c r="F21" s="2" t="s">
        <v>259</v>
      </c>
      <c r="G21" s="2" t="s">
        <v>259</v>
      </c>
      <c r="H21" s="2" t="s">
        <v>104</v>
      </c>
      <c r="I21" s="2"/>
      <c r="J21" s="2"/>
      <c r="K21" s="2" t="s">
        <v>291</v>
      </c>
      <c r="L21" s="105" t="s">
        <v>250</v>
      </c>
      <c r="M21" s="105" t="s">
        <v>262</v>
      </c>
    </row>
    <row r="22" spans="1:13" ht="12.65" customHeight="1" x14ac:dyDescent="0.25">
      <c r="A22" s="234" t="s">
        <v>519</v>
      </c>
      <c r="B22" s="130" t="s">
        <v>252</v>
      </c>
      <c r="C22" s="130" t="s">
        <v>87</v>
      </c>
      <c r="D22" s="131" t="s">
        <v>255</v>
      </c>
      <c r="E22" s="131" t="s">
        <v>260</v>
      </c>
      <c r="F22" s="132" t="s">
        <v>258</v>
      </c>
      <c r="G22" s="252" t="s">
        <v>510</v>
      </c>
      <c r="H22" s="132" t="s">
        <v>267</v>
      </c>
      <c r="I22" s="132" t="s">
        <v>282</v>
      </c>
      <c r="J22" s="132" t="s">
        <v>268</v>
      </c>
      <c r="K22" s="132" t="s">
        <v>290</v>
      </c>
      <c r="L22" s="133" t="s">
        <v>235</v>
      </c>
      <c r="M22" s="133" t="s">
        <v>261</v>
      </c>
    </row>
    <row r="23" spans="1:13" x14ac:dyDescent="0.25">
      <c r="A23" t="s">
        <v>158</v>
      </c>
      <c r="B23" t="s">
        <v>271</v>
      </c>
      <c r="C23" s="1" t="s">
        <v>65</v>
      </c>
      <c r="D23" s="91">
        <v>1.4999999999999999E-2</v>
      </c>
      <c r="E23" s="135">
        <f>M23/1000</f>
        <v>2.3333333333333331E-2</v>
      </c>
      <c r="F23" s="2">
        <v>35</v>
      </c>
      <c r="G23" s="2">
        <v>4</v>
      </c>
      <c r="H23" s="116" t="s">
        <v>236</v>
      </c>
      <c r="I23" s="2" t="s">
        <v>256</v>
      </c>
      <c r="J23" s="2">
        <v>0.37</v>
      </c>
      <c r="K23" s="2">
        <v>0.7</v>
      </c>
      <c r="L23" s="103">
        <v>2500</v>
      </c>
      <c r="M23" s="104">
        <f>AVERAGE($M$26:$M$30,$M$24)</f>
        <v>23.333333333333332</v>
      </c>
    </row>
    <row r="24" spans="1:13" x14ac:dyDescent="0.25">
      <c r="B24" t="s">
        <v>271</v>
      </c>
      <c r="C24" s="1" t="s">
        <v>66</v>
      </c>
      <c r="D24" s="91">
        <v>1.4999999999999999E-2</v>
      </c>
      <c r="E24" s="135">
        <f>E23</f>
        <v>2.3333333333333331E-2</v>
      </c>
      <c r="F24" s="2">
        <v>35</v>
      </c>
      <c r="G24" s="2">
        <v>4</v>
      </c>
      <c r="H24" s="2" t="s">
        <v>236</v>
      </c>
      <c r="I24" s="2" t="s">
        <v>256</v>
      </c>
      <c r="J24" s="2">
        <v>0.37</v>
      </c>
      <c r="K24" s="2">
        <v>0.7</v>
      </c>
      <c r="L24" s="105">
        <v>2800</v>
      </c>
      <c r="M24" s="104">
        <v>20</v>
      </c>
    </row>
    <row r="25" spans="1:13" x14ac:dyDescent="0.25">
      <c r="B25" t="s">
        <v>271</v>
      </c>
      <c r="C25" t="s">
        <v>67</v>
      </c>
      <c r="D25" s="91">
        <v>1.4999999999999999E-2</v>
      </c>
      <c r="E25" s="135">
        <f t="shared" ref="E25:E30" si="0">E24</f>
        <v>2.3333333333333331E-2</v>
      </c>
      <c r="F25" s="2">
        <v>35</v>
      </c>
      <c r="G25" s="2">
        <v>4</v>
      </c>
      <c r="H25" s="2" t="s">
        <v>236</v>
      </c>
      <c r="I25" s="2" t="s">
        <v>256</v>
      </c>
      <c r="J25" s="2">
        <v>0.37</v>
      </c>
      <c r="K25" s="2">
        <v>0.7</v>
      </c>
      <c r="L25" s="103">
        <v>2500</v>
      </c>
      <c r="M25" s="104">
        <f>AVERAGE($M$26:$M$30,$M$24)</f>
        <v>23.333333333333332</v>
      </c>
    </row>
    <row r="26" spans="1:13" x14ac:dyDescent="0.25">
      <c r="B26" t="s">
        <v>271</v>
      </c>
      <c r="C26" t="s">
        <v>59</v>
      </c>
      <c r="D26" s="91">
        <v>1.4999999999999999E-2</v>
      </c>
      <c r="E26" s="135">
        <f t="shared" si="0"/>
        <v>2.3333333333333331E-2</v>
      </c>
      <c r="F26" s="2">
        <v>35</v>
      </c>
      <c r="G26" s="2">
        <v>4</v>
      </c>
      <c r="H26" s="2" t="s">
        <v>236</v>
      </c>
      <c r="I26" s="2" t="s">
        <v>256</v>
      </c>
      <c r="J26" s="2">
        <v>0.37</v>
      </c>
      <c r="K26" s="2">
        <v>0.7</v>
      </c>
      <c r="L26" s="105">
        <v>2300</v>
      </c>
      <c r="M26" s="104">
        <v>20</v>
      </c>
    </row>
    <row r="27" spans="1:13" x14ac:dyDescent="0.25">
      <c r="B27" t="s">
        <v>271</v>
      </c>
      <c r="C27" t="s">
        <v>68</v>
      </c>
      <c r="D27" s="91">
        <v>1.4999999999999999E-2</v>
      </c>
      <c r="E27" s="135">
        <f t="shared" si="0"/>
        <v>2.3333333333333331E-2</v>
      </c>
      <c r="F27" s="2">
        <v>35</v>
      </c>
      <c r="G27" s="2">
        <v>4</v>
      </c>
      <c r="H27" s="2" t="s">
        <v>236</v>
      </c>
      <c r="I27" s="2" t="s">
        <v>256</v>
      </c>
      <c r="J27" s="2">
        <v>0.37</v>
      </c>
      <c r="K27" s="2">
        <v>0.7</v>
      </c>
      <c r="L27" s="105">
        <v>2200</v>
      </c>
      <c r="M27" s="104">
        <v>20</v>
      </c>
    </row>
    <row r="28" spans="1:13" x14ac:dyDescent="0.25">
      <c r="B28" t="s">
        <v>271</v>
      </c>
      <c r="C28" t="s">
        <v>69</v>
      </c>
      <c r="D28" s="91">
        <v>1.4999999999999999E-2</v>
      </c>
      <c r="E28" s="135">
        <f t="shared" si="0"/>
        <v>2.3333333333333331E-2</v>
      </c>
      <c r="F28" s="2">
        <v>35</v>
      </c>
      <c r="G28" s="2">
        <v>4</v>
      </c>
      <c r="H28" s="2" t="s">
        <v>236</v>
      </c>
      <c r="I28" s="2" t="s">
        <v>256</v>
      </c>
      <c r="J28" s="2">
        <v>0.37</v>
      </c>
      <c r="K28" s="2">
        <v>0.7</v>
      </c>
      <c r="L28" s="105">
        <v>3000</v>
      </c>
      <c r="M28" s="104">
        <v>40</v>
      </c>
    </row>
    <row r="29" spans="1:13" x14ac:dyDescent="0.25">
      <c r="B29" t="s">
        <v>271</v>
      </c>
      <c r="C29" t="s">
        <v>86</v>
      </c>
      <c r="D29" s="91">
        <v>1.4999999999999999E-2</v>
      </c>
      <c r="E29" s="135">
        <f>E28</f>
        <v>2.3333333333333331E-2</v>
      </c>
      <c r="F29" s="2">
        <v>35</v>
      </c>
      <c r="G29" s="2">
        <v>4</v>
      </c>
      <c r="H29" s="2" t="s">
        <v>236</v>
      </c>
      <c r="I29" s="2" t="s">
        <v>256</v>
      </c>
      <c r="J29" s="2">
        <v>0.37</v>
      </c>
      <c r="K29" s="2">
        <v>0.7</v>
      </c>
      <c r="L29" s="105">
        <v>2700</v>
      </c>
      <c r="M29" s="104">
        <v>20</v>
      </c>
    </row>
    <row r="30" spans="1:13" x14ac:dyDescent="0.25">
      <c r="B30" t="s">
        <v>271</v>
      </c>
      <c r="C30" t="s">
        <v>70</v>
      </c>
      <c r="D30" s="91">
        <v>1.4999999999999999E-2</v>
      </c>
      <c r="E30" s="135">
        <f t="shared" si="0"/>
        <v>2.3333333333333331E-2</v>
      </c>
      <c r="F30" s="2">
        <v>35</v>
      </c>
      <c r="G30" s="2">
        <v>4</v>
      </c>
      <c r="H30" s="2" t="s">
        <v>236</v>
      </c>
      <c r="I30" s="2" t="s">
        <v>256</v>
      </c>
      <c r="J30" s="2">
        <v>0.37</v>
      </c>
      <c r="K30" s="2">
        <v>0.7</v>
      </c>
      <c r="L30" s="105">
        <v>2500</v>
      </c>
      <c r="M30" s="104">
        <v>20</v>
      </c>
    </row>
    <row r="31" spans="1:13" x14ac:dyDescent="0.25">
      <c r="B31" t="s">
        <v>271</v>
      </c>
      <c r="C31" s="77" t="s">
        <v>77</v>
      </c>
      <c r="D31" s="106">
        <v>1.4999999999999999E-2</v>
      </c>
      <c r="E31" s="136">
        <f>E23</f>
        <v>2.3333333333333331E-2</v>
      </c>
      <c r="F31" s="106">
        <v>35</v>
      </c>
      <c r="G31" s="248">
        <v>4</v>
      </c>
      <c r="H31" s="106" t="s">
        <v>236</v>
      </c>
      <c r="I31" s="106" t="s">
        <v>256</v>
      </c>
      <c r="J31" s="106">
        <v>0.37</v>
      </c>
      <c r="K31" s="106">
        <v>0.7</v>
      </c>
      <c r="L31" s="107">
        <v>2800</v>
      </c>
      <c r="M31" s="108">
        <f>AVERAGE($M$26:$M$30,$M$24)</f>
        <v>23.333333333333332</v>
      </c>
    </row>
    <row r="32" spans="1:13" s="23" customFormat="1" x14ac:dyDescent="0.25">
      <c r="B32" s="8" t="s">
        <v>296</v>
      </c>
      <c r="C32" s="1" t="s">
        <v>65</v>
      </c>
      <c r="D32" s="24">
        <v>3.0000000000000001E-3</v>
      </c>
      <c r="E32" s="135">
        <f>M32/1000</f>
        <v>2.1499999999999998E-2</v>
      </c>
      <c r="F32" s="2">
        <v>25</v>
      </c>
      <c r="G32" s="2">
        <v>3</v>
      </c>
      <c r="H32" s="24" t="s">
        <v>236</v>
      </c>
      <c r="I32" s="24" t="s">
        <v>269</v>
      </c>
      <c r="J32" s="24">
        <v>0.48</v>
      </c>
      <c r="K32" s="24">
        <v>0.8</v>
      </c>
      <c r="L32" s="109">
        <v>1200</v>
      </c>
      <c r="M32" s="104">
        <f>AVERAGE($M$36:$M$37)</f>
        <v>21.5</v>
      </c>
    </row>
    <row r="33" spans="2:13" s="23" customFormat="1" x14ac:dyDescent="0.25">
      <c r="B33" s="8" t="s">
        <v>296</v>
      </c>
      <c r="C33" s="1" t="s">
        <v>66</v>
      </c>
      <c r="D33" s="24">
        <f>D32</f>
        <v>3.0000000000000001E-3</v>
      </c>
      <c r="E33" s="135">
        <f>E32</f>
        <v>2.1499999999999998E-2</v>
      </c>
      <c r="F33" s="2">
        <v>25</v>
      </c>
      <c r="G33" s="2">
        <v>3</v>
      </c>
      <c r="H33" s="24">
        <v>0</v>
      </c>
      <c r="I33" s="24" t="s">
        <v>269</v>
      </c>
      <c r="J33" s="24">
        <v>0.48</v>
      </c>
      <c r="K33" s="24">
        <v>0.8</v>
      </c>
      <c r="L33" s="109">
        <v>1000</v>
      </c>
      <c r="M33" s="104">
        <f>AVERAGE($M$36:$M$37)</f>
        <v>21.5</v>
      </c>
    </row>
    <row r="34" spans="2:13" s="23" customFormat="1" x14ac:dyDescent="0.25">
      <c r="B34" s="8" t="s">
        <v>296</v>
      </c>
      <c r="C34" t="s">
        <v>67</v>
      </c>
      <c r="D34" s="24">
        <f t="shared" ref="D34:D38" si="1">D33</f>
        <v>3.0000000000000001E-3</v>
      </c>
      <c r="E34" s="135">
        <f t="shared" ref="E34:E40" si="2">E33</f>
        <v>2.1499999999999998E-2</v>
      </c>
      <c r="F34" s="2">
        <v>25</v>
      </c>
      <c r="G34" s="2">
        <v>3</v>
      </c>
      <c r="H34" s="24">
        <v>0</v>
      </c>
      <c r="I34" s="24" t="s">
        <v>269</v>
      </c>
      <c r="J34" s="24">
        <v>0.48</v>
      </c>
      <c r="K34" s="24">
        <v>0.8</v>
      </c>
      <c r="L34" s="109">
        <v>1000</v>
      </c>
      <c r="M34" s="104">
        <f>AVERAGE($M$36:$M$37)</f>
        <v>21.5</v>
      </c>
    </row>
    <row r="35" spans="2:13" s="23" customFormat="1" x14ac:dyDescent="0.25">
      <c r="B35" s="8" t="s">
        <v>296</v>
      </c>
      <c r="C35" t="s">
        <v>59</v>
      </c>
      <c r="D35" s="24">
        <f t="shared" si="1"/>
        <v>3.0000000000000001E-3</v>
      </c>
      <c r="E35" s="135">
        <f t="shared" si="2"/>
        <v>2.1499999999999998E-2</v>
      </c>
      <c r="F35" s="2">
        <v>25</v>
      </c>
      <c r="G35" s="2">
        <v>3</v>
      </c>
      <c r="H35" s="24">
        <v>0</v>
      </c>
      <c r="I35" s="24" t="s">
        <v>269</v>
      </c>
      <c r="J35" s="24">
        <v>0.48</v>
      </c>
      <c r="K35" s="24">
        <v>0.8</v>
      </c>
      <c r="L35" s="109">
        <v>1000</v>
      </c>
      <c r="M35" s="104">
        <f>AVERAGE($M$36:$M$37)</f>
        <v>21.5</v>
      </c>
    </row>
    <row r="36" spans="2:13" s="23" customFormat="1" x14ac:dyDescent="0.25">
      <c r="B36" s="8" t="s">
        <v>296</v>
      </c>
      <c r="C36" t="s">
        <v>68</v>
      </c>
      <c r="D36" s="24">
        <f t="shared" si="1"/>
        <v>3.0000000000000001E-3</v>
      </c>
      <c r="E36" s="135">
        <f t="shared" si="2"/>
        <v>2.1499999999999998E-2</v>
      </c>
      <c r="F36" s="2">
        <v>25</v>
      </c>
      <c r="G36" s="2">
        <v>3</v>
      </c>
      <c r="H36" s="24" t="s">
        <v>236</v>
      </c>
      <c r="I36" s="24" t="s">
        <v>269</v>
      </c>
      <c r="J36" s="24">
        <v>0.48</v>
      </c>
      <c r="K36" s="24">
        <v>0.8</v>
      </c>
      <c r="L36" s="110">
        <v>1000</v>
      </c>
      <c r="M36" s="105">
        <v>19</v>
      </c>
    </row>
    <row r="37" spans="2:13" s="23" customFormat="1" x14ac:dyDescent="0.25">
      <c r="B37" s="8" t="s">
        <v>296</v>
      </c>
      <c r="C37" t="s">
        <v>69</v>
      </c>
      <c r="D37" s="24">
        <f t="shared" si="1"/>
        <v>3.0000000000000001E-3</v>
      </c>
      <c r="E37" s="135">
        <f t="shared" si="2"/>
        <v>2.1499999999999998E-2</v>
      </c>
      <c r="F37" s="2">
        <v>25</v>
      </c>
      <c r="G37" s="2">
        <v>3</v>
      </c>
      <c r="H37" s="24" t="s">
        <v>236</v>
      </c>
      <c r="I37" s="24" t="s">
        <v>269</v>
      </c>
      <c r="J37" s="24">
        <v>0.48</v>
      </c>
      <c r="K37" s="24">
        <v>0.8</v>
      </c>
      <c r="L37" s="110">
        <v>1200</v>
      </c>
      <c r="M37" s="105">
        <v>24</v>
      </c>
    </row>
    <row r="38" spans="2:13" s="23" customFormat="1" x14ac:dyDescent="0.25">
      <c r="B38" s="8" t="s">
        <v>296</v>
      </c>
      <c r="C38" t="s">
        <v>86</v>
      </c>
      <c r="D38" s="24">
        <f t="shared" si="1"/>
        <v>3.0000000000000001E-3</v>
      </c>
      <c r="E38" s="135">
        <f t="shared" si="2"/>
        <v>2.1499999999999998E-2</v>
      </c>
      <c r="F38" s="2">
        <v>25</v>
      </c>
      <c r="G38" s="2">
        <v>3</v>
      </c>
      <c r="H38" s="24">
        <v>0</v>
      </c>
      <c r="I38" s="24" t="s">
        <v>269</v>
      </c>
      <c r="J38" s="24">
        <v>0.48</v>
      </c>
      <c r="K38" s="24">
        <v>0.8</v>
      </c>
      <c r="L38" s="109">
        <v>1000</v>
      </c>
      <c r="M38" s="104">
        <f>AVERAGE($M$36:$M$37)</f>
        <v>21.5</v>
      </c>
    </row>
    <row r="39" spans="2:13" s="23" customFormat="1" x14ac:dyDescent="0.25">
      <c r="B39" s="8" t="s">
        <v>296</v>
      </c>
      <c r="C39" t="s">
        <v>70</v>
      </c>
      <c r="D39" s="24">
        <f>D38</f>
        <v>3.0000000000000001E-3</v>
      </c>
      <c r="E39" s="135">
        <f t="shared" si="2"/>
        <v>2.1499999999999998E-2</v>
      </c>
      <c r="F39" s="2">
        <v>25</v>
      </c>
      <c r="G39" s="2">
        <v>3</v>
      </c>
      <c r="H39" s="24">
        <v>0</v>
      </c>
      <c r="I39" s="24" t="s">
        <v>269</v>
      </c>
      <c r="J39" s="24">
        <v>0.48</v>
      </c>
      <c r="K39" s="24">
        <v>0.8</v>
      </c>
      <c r="L39" s="109">
        <v>1000</v>
      </c>
      <c r="M39" s="104">
        <f>AVERAGE($M$36:$M$37)</f>
        <v>21.5</v>
      </c>
    </row>
    <row r="40" spans="2:13" s="23" customFormat="1" x14ac:dyDescent="0.25">
      <c r="B40" s="8" t="s">
        <v>296</v>
      </c>
      <c r="C40" s="77" t="s">
        <v>77</v>
      </c>
      <c r="D40" s="111">
        <f>D39</f>
        <v>3.0000000000000001E-3</v>
      </c>
      <c r="E40" s="136">
        <f t="shared" si="2"/>
        <v>2.1499999999999998E-2</v>
      </c>
      <c r="F40" s="106">
        <v>25</v>
      </c>
      <c r="G40" s="248">
        <v>3</v>
      </c>
      <c r="H40" s="111">
        <v>0</v>
      </c>
      <c r="I40" s="111" t="s">
        <v>269</v>
      </c>
      <c r="J40" s="111">
        <v>0.48</v>
      </c>
      <c r="K40" s="111">
        <v>0.8</v>
      </c>
      <c r="L40" s="112">
        <v>1000</v>
      </c>
      <c r="M40" s="108">
        <f>AVERAGE($M$36:$M$37)</f>
        <v>21.5</v>
      </c>
    </row>
    <row r="41" spans="2:13" s="23" customFormat="1" x14ac:dyDescent="0.25">
      <c r="B41" s="8" t="s">
        <v>308</v>
      </c>
      <c r="C41" s="1" t="s">
        <v>65</v>
      </c>
      <c r="D41" s="24">
        <v>0.02</v>
      </c>
      <c r="E41" s="135">
        <f>M41/1000</f>
        <v>0.01</v>
      </c>
      <c r="F41" s="2">
        <v>25</v>
      </c>
      <c r="G41" s="2">
        <v>1</v>
      </c>
      <c r="H41" s="153" t="s">
        <v>236</v>
      </c>
      <c r="I41" s="24" t="s">
        <v>265</v>
      </c>
      <c r="J41" s="24">
        <v>0.99</v>
      </c>
      <c r="K41" s="24">
        <v>1</v>
      </c>
      <c r="L41" s="109">
        <v>2000</v>
      </c>
      <c r="M41" s="253">
        <v>10</v>
      </c>
    </row>
    <row r="42" spans="2:13" s="23" customFormat="1" x14ac:dyDescent="0.25">
      <c r="B42" s="8" t="s">
        <v>308</v>
      </c>
      <c r="C42" s="1" t="s">
        <v>66</v>
      </c>
      <c r="D42" s="24">
        <v>0.02</v>
      </c>
      <c r="E42" s="135">
        <f>E41</f>
        <v>0.01</v>
      </c>
      <c r="F42" s="2">
        <v>25</v>
      </c>
      <c r="G42" s="2">
        <v>1</v>
      </c>
      <c r="H42" s="2" t="s">
        <v>236</v>
      </c>
      <c r="I42" s="24" t="s">
        <v>265</v>
      </c>
      <c r="J42" s="24">
        <v>0.99</v>
      </c>
      <c r="K42" s="24">
        <v>1</v>
      </c>
      <c r="L42" s="109">
        <v>2000</v>
      </c>
      <c r="M42" s="253">
        <v>10</v>
      </c>
    </row>
    <row r="43" spans="2:13" s="23" customFormat="1" x14ac:dyDescent="0.25">
      <c r="B43" s="8" t="s">
        <v>308</v>
      </c>
      <c r="C43" t="s">
        <v>67</v>
      </c>
      <c r="D43" s="24">
        <v>0.02</v>
      </c>
      <c r="E43" s="135">
        <f t="shared" ref="E43:E47" si="3">E42</f>
        <v>0.01</v>
      </c>
      <c r="F43" s="2">
        <v>25</v>
      </c>
      <c r="G43" s="2">
        <v>1</v>
      </c>
      <c r="H43" s="2" t="s">
        <v>236</v>
      </c>
      <c r="I43" s="24" t="s">
        <v>265</v>
      </c>
      <c r="J43" s="24">
        <v>0.99</v>
      </c>
      <c r="K43" s="24">
        <v>1</v>
      </c>
      <c r="L43" s="109">
        <v>2000</v>
      </c>
      <c r="M43" s="253">
        <v>10</v>
      </c>
    </row>
    <row r="44" spans="2:13" s="23" customFormat="1" x14ac:dyDescent="0.25">
      <c r="B44" s="8" t="s">
        <v>308</v>
      </c>
      <c r="C44" t="s">
        <v>59</v>
      </c>
      <c r="D44" s="24">
        <v>0.02</v>
      </c>
      <c r="E44" s="135">
        <f t="shared" si="3"/>
        <v>0.01</v>
      </c>
      <c r="F44" s="2">
        <v>25</v>
      </c>
      <c r="G44" s="2">
        <v>1</v>
      </c>
      <c r="H44" s="2" t="s">
        <v>236</v>
      </c>
      <c r="I44" s="24" t="s">
        <v>265</v>
      </c>
      <c r="J44" s="24">
        <v>0.99</v>
      </c>
      <c r="K44" s="24">
        <v>1</v>
      </c>
      <c r="L44" s="109">
        <v>2000</v>
      </c>
      <c r="M44" s="253">
        <v>10</v>
      </c>
    </row>
    <row r="45" spans="2:13" s="23" customFormat="1" x14ac:dyDescent="0.25">
      <c r="B45" s="8" t="s">
        <v>308</v>
      </c>
      <c r="C45" t="s">
        <v>68</v>
      </c>
      <c r="D45" s="24">
        <v>0.02</v>
      </c>
      <c r="E45" s="135">
        <f>E44</f>
        <v>0.01</v>
      </c>
      <c r="F45" s="2">
        <v>25</v>
      </c>
      <c r="G45" s="2">
        <v>1</v>
      </c>
      <c r="H45" s="2" t="s">
        <v>236</v>
      </c>
      <c r="I45" s="24" t="s">
        <v>265</v>
      </c>
      <c r="J45" s="24">
        <v>0.99</v>
      </c>
      <c r="K45" s="24">
        <v>1</v>
      </c>
      <c r="L45" s="109">
        <v>2000</v>
      </c>
      <c r="M45" s="253">
        <v>10</v>
      </c>
    </row>
    <row r="46" spans="2:13" s="23" customFormat="1" x14ac:dyDescent="0.25">
      <c r="B46" s="8" t="s">
        <v>308</v>
      </c>
      <c r="C46" t="s">
        <v>69</v>
      </c>
      <c r="D46" s="24">
        <v>0.02</v>
      </c>
      <c r="E46" s="135">
        <f t="shared" si="3"/>
        <v>0.01</v>
      </c>
      <c r="F46" s="2">
        <v>25</v>
      </c>
      <c r="G46" s="2">
        <v>1</v>
      </c>
      <c r="H46" s="2" t="s">
        <v>236</v>
      </c>
      <c r="I46" s="24" t="s">
        <v>265</v>
      </c>
      <c r="J46" s="24">
        <v>0.99</v>
      </c>
      <c r="K46" s="24">
        <v>1</v>
      </c>
      <c r="L46" s="109">
        <v>2000</v>
      </c>
      <c r="M46" s="253">
        <v>10</v>
      </c>
    </row>
    <row r="47" spans="2:13" s="23" customFormat="1" x14ac:dyDescent="0.25">
      <c r="B47" s="8" t="s">
        <v>308</v>
      </c>
      <c r="C47" t="s">
        <v>86</v>
      </c>
      <c r="D47" s="24">
        <v>0.02</v>
      </c>
      <c r="E47" s="135">
        <f t="shared" si="3"/>
        <v>0.01</v>
      </c>
      <c r="F47" s="2">
        <v>25</v>
      </c>
      <c r="G47" s="2">
        <v>1</v>
      </c>
      <c r="H47" s="2" t="s">
        <v>236</v>
      </c>
      <c r="I47" s="24" t="s">
        <v>265</v>
      </c>
      <c r="J47" s="24">
        <v>0.99</v>
      </c>
      <c r="K47" s="24">
        <v>1</v>
      </c>
      <c r="L47" s="109">
        <v>2000</v>
      </c>
      <c r="M47" s="253">
        <v>10</v>
      </c>
    </row>
    <row r="48" spans="2:13" s="23" customFormat="1" x14ac:dyDescent="0.25">
      <c r="B48" s="8" t="s">
        <v>308</v>
      </c>
      <c r="C48" t="s">
        <v>70</v>
      </c>
      <c r="D48" s="24">
        <v>0.02</v>
      </c>
      <c r="E48" s="135">
        <f>E47</f>
        <v>0.01</v>
      </c>
      <c r="F48" s="2">
        <v>25</v>
      </c>
      <c r="G48" s="2">
        <v>1</v>
      </c>
      <c r="H48" s="2" t="s">
        <v>236</v>
      </c>
      <c r="I48" s="24" t="s">
        <v>265</v>
      </c>
      <c r="J48" s="24">
        <v>0.99</v>
      </c>
      <c r="K48" s="24">
        <v>1</v>
      </c>
      <c r="L48" s="109">
        <v>2000</v>
      </c>
      <c r="M48" s="253">
        <v>10</v>
      </c>
    </row>
    <row r="49" spans="2:13" s="23" customFormat="1" x14ac:dyDescent="0.25">
      <c r="B49" s="8" t="s">
        <v>308</v>
      </c>
      <c r="C49" s="77" t="s">
        <v>77</v>
      </c>
      <c r="D49" s="111">
        <v>0.02</v>
      </c>
      <c r="E49" s="136">
        <f>E47</f>
        <v>0.01</v>
      </c>
      <c r="F49" s="106">
        <v>25</v>
      </c>
      <c r="G49" s="248">
        <v>1</v>
      </c>
      <c r="H49" s="106" t="s">
        <v>236</v>
      </c>
      <c r="I49" s="111" t="s">
        <v>265</v>
      </c>
      <c r="J49" s="111">
        <v>0.99</v>
      </c>
      <c r="K49" s="111">
        <v>1</v>
      </c>
      <c r="L49" s="112">
        <v>2000</v>
      </c>
      <c r="M49" s="254">
        <v>10</v>
      </c>
    </row>
    <row r="50" spans="2:13" x14ac:dyDescent="0.25">
      <c r="B50" s="8" t="s">
        <v>507</v>
      </c>
      <c r="C50" s="1" t="s">
        <v>65</v>
      </c>
      <c r="D50" s="24">
        <v>0.02</v>
      </c>
      <c r="E50" s="135">
        <f>M50/1000</f>
        <v>0.01</v>
      </c>
      <c r="F50" s="24">
        <v>25</v>
      </c>
      <c r="G50" s="24">
        <v>2</v>
      </c>
      <c r="H50" s="153" t="s">
        <v>236</v>
      </c>
      <c r="I50" s="24" t="s">
        <v>507</v>
      </c>
      <c r="J50" s="24">
        <v>0.99</v>
      </c>
      <c r="K50" s="24">
        <v>1</v>
      </c>
      <c r="L50" s="110">
        <v>2400</v>
      </c>
      <c r="M50" s="253">
        <v>10</v>
      </c>
    </row>
    <row r="51" spans="2:13" x14ac:dyDescent="0.25">
      <c r="B51" s="8" t="s">
        <v>507</v>
      </c>
      <c r="C51" s="1" t="s">
        <v>66</v>
      </c>
      <c r="D51" s="24">
        <v>0.02</v>
      </c>
      <c r="E51" s="135">
        <f>E50</f>
        <v>0.01</v>
      </c>
      <c r="F51" s="24">
        <v>25</v>
      </c>
      <c r="G51" s="24">
        <v>2</v>
      </c>
      <c r="H51" s="2">
        <v>0</v>
      </c>
      <c r="I51" s="24" t="s">
        <v>507</v>
      </c>
      <c r="J51" s="24">
        <v>0.99</v>
      </c>
      <c r="K51" s="24">
        <v>1</v>
      </c>
      <c r="L51" s="110">
        <v>2400</v>
      </c>
      <c r="M51" s="253">
        <v>10</v>
      </c>
    </row>
    <row r="52" spans="2:13" x14ac:dyDescent="0.25">
      <c r="B52" s="8" t="s">
        <v>507</v>
      </c>
      <c r="C52" t="s">
        <v>67</v>
      </c>
      <c r="D52" s="24">
        <v>0.02</v>
      </c>
      <c r="E52" s="135">
        <f t="shared" ref="E52:E56" si="4">E51</f>
        <v>0.01</v>
      </c>
      <c r="F52" s="24">
        <v>25</v>
      </c>
      <c r="G52" s="24">
        <v>2</v>
      </c>
      <c r="H52" s="2">
        <v>0</v>
      </c>
      <c r="I52" s="24" t="s">
        <v>507</v>
      </c>
      <c r="J52" s="24">
        <v>0.99</v>
      </c>
      <c r="K52" s="24">
        <v>1</v>
      </c>
      <c r="L52" s="110">
        <v>2400</v>
      </c>
      <c r="M52" s="253">
        <v>10</v>
      </c>
    </row>
    <row r="53" spans="2:13" x14ac:dyDescent="0.25">
      <c r="B53" s="8" t="s">
        <v>507</v>
      </c>
      <c r="C53" t="s">
        <v>59</v>
      </c>
      <c r="D53" s="24">
        <v>0.02</v>
      </c>
      <c r="E53" s="135">
        <f t="shared" si="4"/>
        <v>0.01</v>
      </c>
      <c r="F53" s="24">
        <v>25</v>
      </c>
      <c r="G53" s="24">
        <v>2</v>
      </c>
      <c r="H53" s="2" t="s">
        <v>236</v>
      </c>
      <c r="I53" s="24" t="s">
        <v>507</v>
      </c>
      <c r="J53" s="24">
        <v>0.99</v>
      </c>
      <c r="K53" s="24">
        <v>1</v>
      </c>
      <c r="L53" s="110">
        <v>2400</v>
      </c>
      <c r="M53" s="253">
        <v>10</v>
      </c>
    </row>
    <row r="54" spans="2:13" x14ac:dyDescent="0.25">
      <c r="B54" s="8" t="s">
        <v>507</v>
      </c>
      <c r="C54" t="s">
        <v>68</v>
      </c>
      <c r="D54" s="24">
        <v>0.02</v>
      </c>
      <c r="E54" s="135">
        <f>E53</f>
        <v>0.01</v>
      </c>
      <c r="F54" s="24">
        <v>25</v>
      </c>
      <c r="G54" s="24">
        <v>2</v>
      </c>
      <c r="H54" s="2" t="s">
        <v>236</v>
      </c>
      <c r="I54" s="24" t="s">
        <v>507</v>
      </c>
      <c r="J54" s="24">
        <v>0.99</v>
      </c>
      <c r="K54" s="24">
        <v>1</v>
      </c>
      <c r="L54" s="110">
        <v>2400</v>
      </c>
      <c r="M54" s="253">
        <v>10</v>
      </c>
    </row>
    <row r="55" spans="2:13" x14ac:dyDescent="0.25">
      <c r="B55" s="8" t="s">
        <v>507</v>
      </c>
      <c r="C55" t="s">
        <v>69</v>
      </c>
      <c r="D55" s="24">
        <v>0.02</v>
      </c>
      <c r="E55" s="135">
        <f t="shared" si="4"/>
        <v>0.01</v>
      </c>
      <c r="F55" s="24">
        <v>25</v>
      </c>
      <c r="G55" s="24">
        <v>2</v>
      </c>
      <c r="H55" s="2" t="s">
        <v>236</v>
      </c>
      <c r="I55" s="24" t="s">
        <v>507</v>
      </c>
      <c r="J55" s="24">
        <v>0.99</v>
      </c>
      <c r="K55" s="24">
        <v>1</v>
      </c>
      <c r="L55" s="110">
        <v>2400</v>
      </c>
      <c r="M55" s="253">
        <v>10</v>
      </c>
    </row>
    <row r="56" spans="2:13" x14ac:dyDescent="0.25">
      <c r="B56" s="8" t="s">
        <v>507</v>
      </c>
      <c r="C56" t="s">
        <v>86</v>
      </c>
      <c r="D56" s="24">
        <v>0.02</v>
      </c>
      <c r="E56" s="135">
        <f t="shared" si="4"/>
        <v>0.01</v>
      </c>
      <c r="F56" s="24">
        <v>25</v>
      </c>
      <c r="G56" s="24">
        <v>2</v>
      </c>
      <c r="H56" s="2">
        <v>0</v>
      </c>
      <c r="I56" s="24" t="s">
        <v>507</v>
      </c>
      <c r="J56" s="24">
        <v>0.99</v>
      </c>
      <c r="K56" s="24">
        <v>1</v>
      </c>
      <c r="L56" s="110">
        <v>2400</v>
      </c>
      <c r="M56" s="253">
        <v>10</v>
      </c>
    </row>
    <row r="57" spans="2:13" x14ac:dyDescent="0.25">
      <c r="B57" s="8" t="s">
        <v>507</v>
      </c>
      <c r="C57" t="s">
        <v>70</v>
      </c>
      <c r="D57" s="24">
        <v>0.02</v>
      </c>
      <c r="E57" s="135">
        <f>E56</f>
        <v>0.01</v>
      </c>
      <c r="F57" s="24">
        <v>25</v>
      </c>
      <c r="G57" s="24">
        <v>2</v>
      </c>
      <c r="H57" s="2">
        <v>0</v>
      </c>
      <c r="I57" s="24" t="s">
        <v>507</v>
      </c>
      <c r="J57" s="24">
        <v>0.99</v>
      </c>
      <c r="K57" s="24">
        <v>1</v>
      </c>
      <c r="L57" s="110">
        <v>2400</v>
      </c>
      <c r="M57" s="253">
        <v>10</v>
      </c>
    </row>
    <row r="58" spans="2:13" x14ac:dyDescent="0.25">
      <c r="B58" s="8" t="s">
        <v>507</v>
      </c>
      <c r="C58" s="198" t="s">
        <v>77</v>
      </c>
      <c r="D58" s="245">
        <v>0.02</v>
      </c>
      <c r="E58" s="136">
        <f>E56</f>
        <v>0.01</v>
      </c>
      <c r="F58" s="245">
        <v>25</v>
      </c>
      <c r="G58" s="245">
        <v>2</v>
      </c>
      <c r="H58" s="248" t="s">
        <v>236</v>
      </c>
      <c r="I58" s="245" t="s">
        <v>507</v>
      </c>
      <c r="J58" s="111">
        <v>0.99</v>
      </c>
      <c r="K58" s="245">
        <v>1</v>
      </c>
      <c r="L58" s="247">
        <v>2400</v>
      </c>
      <c r="M58" s="254">
        <v>10</v>
      </c>
    </row>
    <row r="59" spans="2:13" s="23" customFormat="1" x14ac:dyDescent="0.25">
      <c r="B59" s="8" t="s">
        <v>266</v>
      </c>
      <c r="C59" s="1" t="s">
        <v>65</v>
      </c>
      <c r="D59" s="24">
        <v>6.0000000000000001E-3</v>
      </c>
      <c r="E59" s="137">
        <v>0</v>
      </c>
      <c r="F59" s="24">
        <v>50</v>
      </c>
      <c r="G59" s="2">
        <v>1</v>
      </c>
      <c r="H59" s="24">
        <v>0</v>
      </c>
      <c r="I59" s="24" t="s">
        <v>272</v>
      </c>
      <c r="J59" s="24">
        <v>0.99</v>
      </c>
      <c r="K59" s="24">
        <v>1</v>
      </c>
      <c r="L59" s="110">
        <v>0</v>
      </c>
      <c r="M59" s="110">
        <v>0</v>
      </c>
    </row>
    <row r="60" spans="2:13" s="23" customFormat="1" x14ac:dyDescent="0.25">
      <c r="B60" s="8" t="s">
        <v>266</v>
      </c>
      <c r="C60" s="1" t="s">
        <v>66</v>
      </c>
      <c r="D60" s="24">
        <v>6.0000000000000001E-3</v>
      </c>
      <c r="E60" s="137">
        <v>0</v>
      </c>
      <c r="F60" s="24">
        <v>50</v>
      </c>
      <c r="G60" s="2">
        <v>1</v>
      </c>
      <c r="H60" s="24">
        <v>0</v>
      </c>
      <c r="I60" s="24" t="s">
        <v>272</v>
      </c>
      <c r="J60" s="24">
        <v>0.99</v>
      </c>
      <c r="K60" s="24">
        <v>1</v>
      </c>
      <c r="L60" s="110">
        <v>0</v>
      </c>
      <c r="M60" s="110">
        <v>0</v>
      </c>
    </row>
    <row r="61" spans="2:13" s="23" customFormat="1" x14ac:dyDescent="0.25">
      <c r="B61" s="8" t="s">
        <v>266</v>
      </c>
      <c r="C61" t="s">
        <v>67</v>
      </c>
      <c r="D61" s="24">
        <v>6.0000000000000001E-3</v>
      </c>
      <c r="E61" s="137">
        <v>0</v>
      </c>
      <c r="F61" s="24">
        <v>50</v>
      </c>
      <c r="G61" s="2">
        <v>1</v>
      </c>
      <c r="H61" s="24">
        <v>0</v>
      </c>
      <c r="I61" s="24" t="s">
        <v>272</v>
      </c>
      <c r="J61" s="24">
        <v>0.99</v>
      </c>
      <c r="K61" s="24">
        <v>1</v>
      </c>
      <c r="L61" s="110">
        <v>0</v>
      </c>
      <c r="M61" s="110">
        <v>0</v>
      </c>
    </row>
    <row r="62" spans="2:13" s="23" customFormat="1" x14ac:dyDescent="0.25">
      <c r="B62" s="8" t="s">
        <v>266</v>
      </c>
      <c r="C62" t="s">
        <v>59</v>
      </c>
      <c r="D62" s="24">
        <v>6.0000000000000001E-3</v>
      </c>
      <c r="E62" s="137">
        <v>0</v>
      </c>
      <c r="F62" s="24">
        <v>50</v>
      </c>
      <c r="G62" s="2">
        <v>1</v>
      </c>
      <c r="H62" s="24">
        <v>0</v>
      </c>
      <c r="I62" s="24" t="s">
        <v>272</v>
      </c>
      <c r="J62" s="24">
        <v>0.99</v>
      </c>
      <c r="K62" s="24">
        <v>1</v>
      </c>
      <c r="L62" s="110">
        <v>0</v>
      </c>
      <c r="M62" s="110">
        <v>0</v>
      </c>
    </row>
    <row r="63" spans="2:13" s="23" customFormat="1" x14ac:dyDescent="0.25">
      <c r="B63" s="8" t="s">
        <v>266</v>
      </c>
      <c r="C63" t="s">
        <v>68</v>
      </c>
      <c r="D63" s="24">
        <v>6.0000000000000001E-3</v>
      </c>
      <c r="E63" s="137">
        <v>0</v>
      </c>
      <c r="F63" s="24">
        <v>50</v>
      </c>
      <c r="G63" s="2">
        <v>1</v>
      </c>
      <c r="H63" s="24">
        <v>0</v>
      </c>
      <c r="I63" s="24" t="s">
        <v>272</v>
      </c>
      <c r="J63" s="24">
        <v>0.99</v>
      </c>
      <c r="K63" s="24">
        <v>1</v>
      </c>
      <c r="L63" s="110">
        <v>0</v>
      </c>
      <c r="M63" s="110">
        <v>0</v>
      </c>
    </row>
    <row r="64" spans="2:13" s="23" customFormat="1" x14ac:dyDescent="0.25">
      <c r="B64" s="8" t="s">
        <v>266</v>
      </c>
      <c r="C64" t="s">
        <v>69</v>
      </c>
      <c r="D64" s="24">
        <v>6.0000000000000001E-3</v>
      </c>
      <c r="E64" s="137">
        <v>0</v>
      </c>
      <c r="F64" s="24">
        <v>50</v>
      </c>
      <c r="G64" s="2">
        <v>1</v>
      </c>
      <c r="H64" s="24">
        <v>0</v>
      </c>
      <c r="I64" s="24" t="s">
        <v>272</v>
      </c>
      <c r="J64" s="24">
        <v>0.99</v>
      </c>
      <c r="K64" s="24">
        <v>1</v>
      </c>
      <c r="L64" s="110">
        <v>0</v>
      </c>
      <c r="M64" s="110">
        <v>0</v>
      </c>
    </row>
    <row r="65" spans="1:13" s="23" customFormat="1" x14ac:dyDescent="0.25">
      <c r="B65" s="8" t="s">
        <v>266</v>
      </c>
      <c r="C65" t="s">
        <v>86</v>
      </c>
      <c r="D65" s="24">
        <v>6.0000000000000001E-3</v>
      </c>
      <c r="E65" s="137">
        <v>0</v>
      </c>
      <c r="F65" s="24">
        <v>50</v>
      </c>
      <c r="G65" s="2">
        <v>1</v>
      </c>
      <c r="H65" s="24">
        <v>0</v>
      </c>
      <c r="I65" s="24" t="s">
        <v>272</v>
      </c>
      <c r="J65" s="24">
        <v>0.99</v>
      </c>
      <c r="K65" s="24">
        <v>1</v>
      </c>
      <c r="L65" s="110">
        <v>0</v>
      </c>
      <c r="M65" s="110">
        <v>0</v>
      </c>
    </row>
    <row r="66" spans="1:13" s="23" customFormat="1" x14ac:dyDescent="0.25">
      <c r="B66" s="8" t="s">
        <v>266</v>
      </c>
      <c r="C66" t="s">
        <v>70</v>
      </c>
      <c r="D66" s="24">
        <v>6.0000000000000001E-3</v>
      </c>
      <c r="E66" s="137">
        <v>0</v>
      </c>
      <c r="F66" s="24">
        <v>50</v>
      </c>
      <c r="G66" s="2">
        <v>1</v>
      </c>
      <c r="H66" s="24">
        <v>0</v>
      </c>
      <c r="I66" s="24" t="s">
        <v>272</v>
      </c>
      <c r="J66" s="24">
        <v>0.99</v>
      </c>
      <c r="K66" s="24">
        <v>1</v>
      </c>
      <c r="L66" s="110">
        <v>0</v>
      </c>
      <c r="M66" s="110">
        <v>0</v>
      </c>
    </row>
    <row r="67" spans="1:13" s="23" customFormat="1" x14ac:dyDescent="0.25">
      <c r="B67" s="8" t="s">
        <v>266</v>
      </c>
      <c r="C67" s="198" t="s">
        <v>77</v>
      </c>
      <c r="D67" s="245">
        <v>6.0000000000000001E-3</v>
      </c>
      <c r="E67" s="246">
        <v>0</v>
      </c>
      <c r="F67" s="245">
        <v>50</v>
      </c>
      <c r="G67" s="248">
        <v>1</v>
      </c>
      <c r="H67" s="245">
        <v>0</v>
      </c>
      <c r="I67" s="245" t="s">
        <v>272</v>
      </c>
      <c r="J67" s="111">
        <v>0.99</v>
      </c>
      <c r="K67" s="245">
        <v>1</v>
      </c>
      <c r="L67" s="247">
        <v>0</v>
      </c>
      <c r="M67" s="247">
        <v>0</v>
      </c>
    </row>
    <row r="68" spans="1:13" x14ac:dyDescent="0.25">
      <c r="A68" s="19" t="s">
        <v>520</v>
      </c>
      <c r="B68" t="s">
        <v>271</v>
      </c>
      <c r="C68" s="1" t="s">
        <v>65</v>
      </c>
      <c r="D68" s="91">
        <v>1.4999999999999999E-2</v>
      </c>
      <c r="E68" s="135">
        <f>M68/1000</f>
        <v>2.3333333333333331E-2</v>
      </c>
      <c r="F68" s="2">
        <v>35</v>
      </c>
      <c r="G68" s="2">
        <v>0</v>
      </c>
      <c r="H68" s="116" t="s">
        <v>236</v>
      </c>
      <c r="I68" s="2" t="s">
        <v>256</v>
      </c>
      <c r="J68" s="2">
        <v>0.37</v>
      </c>
      <c r="K68" s="2">
        <v>0.7</v>
      </c>
      <c r="L68" s="103">
        <v>2500</v>
      </c>
      <c r="M68" s="104">
        <f>AVERAGE($M$26:$M$30,$M$24)</f>
        <v>23.333333333333332</v>
      </c>
    </row>
    <row r="69" spans="1:13" x14ac:dyDescent="0.25">
      <c r="A69" s="19"/>
      <c r="B69" t="s">
        <v>271</v>
      </c>
      <c r="C69" s="1" t="s">
        <v>66</v>
      </c>
      <c r="D69" s="91">
        <v>1.4999999999999999E-2</v>
      </c>
      <c r="E69" s="135">
        <f>E68</f>
        <v>2.3333333333333331E-2</v>
      </c>
      <c r="F69" s="2">
        <v>35</v>
      </c>
      <c r="G69" s="2">
        <v>0</v>
      </c>
      <c r="H69" s="2" t="s">
        <v>236</v>
      </c>
      <c r="I69" s="2" t="s">
        <v>256</v>
      </c>
      <c r="J69" s="2">
        <v>0.37</v>
      </c>
      <c r="K69" s="2">
        <v>0.7</v>
      </c>
      <c r="L69" s="105">
        <v>2800</v>
      </c>
      <c r="M69" s="104">
        <v>20</v>
      </c>
    </row>
    <row r="70" spans="1:13" x14ac:dyDescent="0.25">
      <c r="A70" s="19"/>
      <c r="B70" t="s">
        <v>271</v>
      </c>
      <c r="C70" t="s">
        <v>67</v>
      </c>
      <c r="D70" s="91">
        <v>1.4999999999999999E-2</v>
      </c>
      <c r="E70" s="135">
        <f t="shared" ref="E70:E75" si="5">E69</f>
        <v>2.3333333333333331E-2</v>
      </c>
      <c r="F70" s="2">
        <v>35</v>
      </c>
      <c r="G70" s="2">
        <v>0</v>
      </c>
      <c r="H70" s="2" t="s">
        <v>236</v>
      </c>
      <c r="I70" s="2" t="s">
        <v>256</v>
      </c>
      <c r="J70" s="2">
        <v>0.37</v>
      </c>
      <c r="K70" s="2">
        <v>0.7</v>
      </c>
      <c r="L70" s="103">
        <v>2500</v>
      </c>
      <c r="M70" s="104">
        <f>AVERAGE($M$26:$M$30,$M$24)</f>
        <v>23.333333333333332</v>
      </c>
    </row>
    <row r="71" spans="1:13" x14ac:dyDescent="0.25">
      <c r="A71" s="19"/>
      <c r="B71" t="s">
        <v>271</v>
      </c>
      <c r="C71" t="s">
        <v>59</v>
      </c>
      <c r="D71" s="91">
        <v>1.4999999999999999E-2</v>
      </c>
      <c r="E71" s="135">
        <f t="shared" si="5"/>
        <v>2.3333333333333331E-2</v>
      </c>
      <c r="F71" s="2">
        <v>35</v>
      </c>
      <c r="G71" s="2">
        <v>0</v>
      </c>
      <c r="H71" s="2" t="s">
        <v>236</v>
      </c>
      <c r="I71" s="2" t="s">
        <v>256</v>
      </c>
      <c r="J71" s="2">
        <v>0.37</v>
      </c>
      <c r="K71" s="2">
        <v>0.7</v>
      </c>
      <c r="L71" s="105">
        <v>2300</v>
      </c>
      <c r="M71" s="104">
        <v>20</v>
      </c>
    </row>
    <row r="72" spans="1:13" x14ac:dyDescent="0.25">
      <c r="A72" s="19"/>
      <c r="B72" t="s">
        <v>271</v>
      </c>
      <c r="C72" t="s">
        <v>68</v>
      </c>
      <c r="D72" s="91">
        <v>1.4999999999999999E-2</v>
      </c>
      <c r="E72" s="135">
        <f t="shared" si="5"/>
        <v>2.3333333333333331E-2</v>
      </c>
      <c r="F72" s="2">
        <v>35</v>
      </c>
      <c r="G72" s="2">
        <v>0</v>
      </c>
      <c r="H72" s="2" t="s">
        <v>236</v>
      </c>
      <c r="I72" s="2" t="s">
        <v>256</v>
      </c>
      <c r="J72" s="2">
        <v>0.37</v>
      </c>
      <c r="K72" s="2">
        <v>0.7</v>
      </c>
      <c r="L72" s="105">
        <v>2200</v>
      </c>
      <c r="M72" s="104">
        <v>20</v>
      </c>
    </row>
    <row r="73" spans="1:13" x14ac:dyDescent="0.25">
      <c r="A73" s="19"/>
      <c r="B73" t="s">
        <v>271</v>
      </c>
      <c r="C73" t="s">
        <v>69</v>
      </c>
      <c r="D73" s="91">
        <v>1.4999999999999999E-2</v>
      </c>
      <c r="E73" s="135">
        <f t="shared" si="5"/>
        <v>2.3333333333333331E-2</v>
      </c>
      <c r="F73" s="2">
        <v>35</v>
      </c>
      <c r="G73" s="2">
        <v>0</v>
      </c>
      <c r="H73" s="2" t="s">
        <v>236</v>
      </c>
      <c r="I73" s="2" t="s">
        <v>256</v>
      </c>
      <c r="J73" s="2">
        <v>0.37</v>
      </c>
      <c r="K73" s="2">
        <v>0.7</v>
      </c>
      <c r="L73" s="105">
        <v>3000</v>
      </c>
      <c r="M73" s="104">
        <v>40</v>
      </c>
    </row>
    <row r="74" spans="1:13" x14ac:dyDescent="0.25">
      <c r="A74" s="19"/>
      <c r="B74" t="s">
        <v>271</v>
      </c>
      <c r="C74" t="s">
        <v>86</v>
      </c>
      <c r="D74" s="91">
        <v>1.4999999999999999E-2</v>
      </c>
      <c r="E74" s="135">
        <f t="shared" si="5"/>
        <v>2.3333333333333331E-2</v>
      </c>
      <c r="F74" s="2">
        <v>35</v>
      </c>
      <c r="G74" s="2">
        <v>0</v>
      </c>
      <c r="H74" s="2" t="s">
        <v>236</v>
      </c>
      <c r="I74" s="2" t="s">
        <v>256</v>
      </c>
      <c r="J74" s="2">
        <v>0.37</v>
      </c>
      <c r="K74" s="2">
        <v>0.7</v>
      </c>
      <c r="L74" s="105">
        <v>2700</v>
      </c>
      <c r="M74" s="104">
        <v>20</v>
      </c>
    </row>
    <row r="75" spans="1:13" x14ac:dyDescent="0.25">
      <c r="A75" s="19"/>
      <c r="B75" t="s">
        <v>271</v>
      </c>
      <c r="C75" t="s">
        <v>70</v>
      </c>
      <c r="D75" s="91">
        <v>1.4999999999999999E-2</v>
      </c>
      <c r="E75" s="135">
        <f t="shared" si="5"/>
        <v>2.3333333333333331E-2</v>
      </c>
      <c r="F75" s="2">
        <v>35</v>
      </c>
      <c r="G75" s="2">
        <v>0</v>
      </c>
      <c r="H75" s="2" t="s">
        <v>236</v>
      </c>
      <c r="I75" s="2" t="s">
        <v>256</v>
      </c>
      <c r="J75" s="2">
        <v>0.37</v>
      </c>
      <c r="K75" s="2">
        <v>0.7</v>
      </c>
      <c r="L75" s="105">
        <v>2500</v>
      </c>
      <c r="M75" s="104">
        <v>20</v>
      </c>
    </row>
    <row r="76" spans="1:13" x14ac:dyDescent="0.25">
      <c r="A76" s="19"/>
      <c r="B76" t="s">
        <v>271</v>
      </c>
      <c r="C76" s="77" t="s">
        <v>77</v>
      </c>
      <c r="D76" s="106">
        <v>1.4999999999999999E-2</v>
      </c>
      <c r="E76" s="136">
        <f>E68</f>
        <v>2.3333333333333331E-2</v>
      </c>
      <c r="F76" s="106">
        <v>35</v>
      </c>
      <c r="G76" s="248">
        <v>0</v>
      </c>
      <c r="H76" s="106" t="s">
        <v>236</v>
      </c>
      <c r="I76" s="106" t="s">
        <v>256</v>
      </c>
      <c r="J76" s="106">
        <v>0.37</v>
      </c>
      <c r="K76" s="106">
        <v>0.7</v>
      </c>
      <c r="L76" s="107">
        <v>2800</v>
      </c>
      <c r="M76" s="108">
        <f>AVERAGE($M$26:$M$30,$M$24)</f>
        <v>23.333333333333332</v>
      </c>
    </row>
    <row r="77" spans="1:13" x14ac:dyDescent="0.25">
      <c r="A77" s="19"/>
      <c r="B77" s="8" t="s">
        <v>296</v>
      </c>
      <c r="C77" s="1" t="s">
        <v>65</v>
      </c>
      <c r="D77" s="24">
        <v>3.0000000000000001E-3</v>
      </c>
      <c r="E77" s="135">
        <f>M77/1000</f>
        <v>2.1499999999999998E-2</v>
      </c>
      <c r="F77" s="2">
        <v>25</v>
      </c>
      <c r="G77" s="2">
        <v>0</v>
      </c>
      <c r="H77" s="24" t="s">
        <v>236</v>
      </c>
      <c r="I77" s="24" t="s">
        <v>269</v>
      </c>
      <c r="J77" s="24">
        <v>0.48</v>
      </c>
      <c r="K77" s="24">
        <v>0.8</v>
      </c>
      <c r="L77" s="109">
        <v>1200</v>
      </c>
      <c r="M77" s="104">
        <f>AVERAGE($M$36:$M$37)</f>
        <v>21.5</v>
      </c>
    </row>
    <row r="78" spans="1:13" x14ac:dyDescent="0.25">
      <c r="A78" s="19"/>
      <c r="B78" s="8" t="s">
        <v>296</v>
      </c>
      <c r="C78" s="1" t="s">
        <v>66</v>
      </c>
      <c r="D78" s="24">
        <f>D77</f>
        <v>3.0000000000000001E-3</v>
      </c>
      <c r="E78" s="135">
        <f>E77</f>
        <v>2.1499999999999998E-2</v>
      </c>
      <c r="F78" s="2">
        <v>25</v>
      </c>
      <c r="G78" s="2">
        <v>0</v>
      </c>
      <c r="H78" s="24">
        <v>0</v>
      </c>
      <c r="I78" s="24" t="s">
        <v>269</v>
      </c>
      <c r="J78" s="24">
        <v>0.48</v>
      </c>
      <c r="K78" s="24">
        <v>0.8</v>
      </c>
      <c r="L78" s="109">
        <v>1000</v>
      </c>
      <c r="M78" s="104">
        <f>AVERAGE($M$36:$M$37)</f>
        <v>21.5</v>
      </c>
    </row>
    <row r="79" spans="1:13" x14ac:dyDescent="0.25">
      <c r="A79" s="19"/>
      <c r="B79" s="8" t="s">
        <v>296</v>
      </c>
      <c r="C79" t="s">
        <v>67</v>
      </c>
      <c r="D79" s="24">
        <f t="shared" ref="D79:E85" si="6">D78</f>
        <v>3.0000000000000001E-3</v>
      </c>
      <c r="E79" s="135">
        <f t="shared" si="6"/>
        <v>2.1499999999999998E-2</v>
      </c>
      <c r="F79" s="2">
        <v>25</v>
      </c>
      <c r="G79" s="2">
        <v>0</v>
      </c>
      <c r="H79" s="24">
        <v>0</v>
      </c>
      <c r="I79" s="24" t="s">
        <v>269</v>
      </c>
      <c r="J79" s="24">
        <v>0.48</v>
      </c>
      <c r="K79" s="24">
        <v>0.8</v>
      </c>
      <c r="L79" s="109">
        <v>1000</v>
      </c>
      <c r="M79" s="104">
        <f>AVERAGE($M$36:$M$37)</f>
        <v>21.5</v>
      </c>
    </row>
    <row r="80" spans="1:13" x14ac:dyDescent="0.25">
      <c r="A80" s="19"/>
      <c r="B80" s="8" t="s">
        <v>296</v>
      </c>
      <c r="C80" t="s">
        <v>59</v>
      </c>
      <c r="D80" s="24">
        <f t="shared" si="6"/>
        <v>3.0000000000000001E-3</v>
      </c>
      <c r="E80" s="135">
        <f t="shared" si="6"/>
        <v>2.1499999999999998E-2</v>
      </c>
      <c r="F80" s="2">
        <v>25</v>
      </c>
      <c r="G80" s="2">
        <v>0</v>
      </c>
      <c r="H80" s="24">
        <v>0</v>
      </c>
      <c r="I80" s="24" t="s">
        <v>269</v>
      </c>
      <c r="J80" s="24">
        <v>0.48</v>
      </c>
      <c r="K80" s="24">
        <v>0.8</v>
      </c>
      <c r="L80" s="109">
        <v>1000</v>
      </c>
      <c r="M80" s="104">
        <f>AVERAGE($M$36:$M$37)</f>
        <v>21.5</v>
      </c>
    </row>
    <row r="81" spans="1:13" x14ac:dyDescent="0.25">
      <c r="A81" s="19"/>
      <c r="B81" s="8" t="s">
        <v>296</v>
      </c>
      <c r="C81" t="s">
        <v>68</v>
      </c>
      <c r="D81" s="24">
        <f t="shared" si="6"/>
        <v>3.0000000000000001E-3</v>
      </c>
      <c r="E81" s="135">
        <f t="shared" si="6"/>
        <v>2.1499999999999998E-2</v>
      </c>
      <c r="F81" s="2">
        <v>25</v>
      </c>
      <c r="G81" s="2">
        <v>0</v>
      </c>
      <c r="H81" s="24" t="s">
        <v>236</v>
      </c>
      <c r="I81" s="24" t="s">
        <v>269</v>
      </c>
      <c r="J81" s="24">
        <v>0.48</v>
      </c>
      <c r="K81" s="24">
        <v>0.8</v>
      </c>
      <c r="L81" s="110">
        <v>1000</v>
      </c>
      <c r="M81" s="105">
        <v>19</v>
      </c>
    </row>
    <row r="82" spans="1:13" x14ac:dyDescent="0.25">
      <c r="A82" s="19"/>
      <c r="B82" s="8" t="s">
        <v>296</v>
      </c>
      <c r="C82" t="s">
        <v>69</v>
      </c>
      <c r="D82" s="24">
        <f t="shared" si="6"/>
        <v>3.0000000000000001E-3</v>
      </c>
      <c r="E82" s="135">
        <f t="shared" si="6"/>
        <v>2.1499999999999998E-2</v>
      </c>
      <c r="F82" s="2">
        <v>25</v>
      </c>
      <c r="G82" s="2">
        <v>0</v>
      </c>
      <c r="H82" s="24" t="s">
        <v>236</v>
      </c>
      <c r="I82" s="24" t="s">
        <v>269</v>
      </c>
      <c r="J82" s="24">
        <v>0.48</v>
      </c>
      <c r="K82" s="24">
        <v>0.8</v>
      </c>
      <c r="L82" s="110">
        <v>1200</v>
      </c>
      <c r="M82" s="105">
        <v>24</v>
      </c>
    </row>
    <row r="83" spans="1:13" x14ac:dyDescent="0.25">
      <c r="A83" s="19"/>
      <c r="B83" s="8" t="s">
        <v>296</v>
      </c>
      <c r="C83" t="s">
        <v>86</v>
      </c>
      <c r="D83" s="24">
        <f t="shared" si="6"/>
        <v>3.0000000000000001E-3</v>
      </c>
      <c r="E83" s="135">
        <f t="shared" si="6"/>
        <v>2.1499999999999998E-2</v>
      </c>
      <c r="F83" s="2">
        <v>25</v>
      </c>
      <c r="G83" s="2">
        <v>0</v>
      </c>
      <c r="H83" s="24">
        <v>0</v>
      </c>
      <c r="I83" s="24" t="s">
        <v>269</v>
      </c>
      <c r="J83" s="24">
        <v>0.48</v>
      </c>
      <c r="K83" s="24">
        <v>0.8</v>
      </c>
      <c r="L83" s="109">
        <v>1000</v>
      </c>
      <c r="M83" s="104">
        <f>AVERAGE($M$36:$M$37)</f>
        <v>21.5</v>
      </c>
    </row>
    <row r="84" spans="1:13" x14ac:dyDescent="0.25">
      <c r="A84" s="19"/>
      <c r="B84" s="8" t="s">
        <v>296</v>
      </c>
      <c r="C84" t="s">
        <v>70</v>
      </c>
      <c r="D84" s="24">
        <f>D83</f>
        <v>3.0000000000000001E-3</v>
      </c>
      <c r="E84" s="135">
        <f t="shared" si="6"/>
        <v>2.1499999999999998E-2</v>
      </c>
      <c r="F84" s="2">
        <v>25</v>
      </c>
      <c r="G84" s="2">
        <v>0</v>
      </c>
      <c r="H84" s="24">
        <v>0</v>
      </c>
      <c r="I84" s="24" t="s">
        <v>269</v>
      </c>
      <c r="J84" s="24">
        <v>0.48</v>
      </c>
      <c r="K84" s="24">
        <v>0.8</v>
      </c>
      <c r="L84" s="109">
        <v>1000</v>
      </c>
      <c r="M84" s="104">
        <f>AVERAGE($M$36:$M$37)</f>
        <v>21.5</v>
      </c>
    </row>
    <row r="85" spans="1:13" x14ac:dyDescent="0.25">
      <c r="A85" s="19"/>
      <c r="B85" s="8" t="s">
        <v>296</v>
      </c>
      <c r="C85" s="77" t="s">
        <v>77</v>
      </c>
      <c r="D85" s="111">
        <f>D84</f>
        <v>3.0000000000000001E-3</v>
      </c>
      <c r="E85" s="136">
        <f t="shared" si="6"/>
        <v>2.1499999999999998E-2</v>
      </c>
      <c r="F85" s="106">
        <v>25</v>
      </c>
      <c r="G85" s="248">
        <v>0</v>
      </c>
      <c r="H85" s="111">
        <v>0</v>
      </c>
      <c r="I85" s="111" t="s">
        <v>269</v>
      </c>
      <c r="J85" s="111">
        <v>0.48</v>
      </c>
      <c r="K85" s="111">
        <v>0.8</v>
      </c>
      <c r="L85" s="112">
        <v>1000</v>
      </c>
      <c r="M85" s="108">
        <f>AVERAGE($M$36:$M$37)</f>
        <v>21.5</v>
      </c>
    </row>
    <row r="86" spans="1:13" x14ac:dyDescent="0.25">
      <c r="A86" s="19"/>
      <c r="B86" s="8" t="s">
        <v>308</v>
      </c>
      <c r="C86" s="1" t="s">
        <v>65</v>
      </c>
      <c r="D86" s="24">
        <v>0.02</v>
      </c>
      <c r="E86" s="135">
        <f>M86/1000</f>
        <v>0.01</v>
      </c>
      <c r="F86" s="2">
        <v>25</v>
      </c>
      <c r="G86" s="2">
        <v>0</v>
      </c>
      <c r="H86" s="153" t="s">
        <v>236</v>
      </c>
      <c r="I86" s="24" t="s">
        <v>265</v>
      </c>
      <c r="J86" s="24">
        <v>0.99</v>
      </c>
      <c r="K86" s="24">
        <v>1</v>
      </c>
      <c r="L86" s="109">
        <v>2000</v>
      </c>
      <c r="M86" s="253">
        <v>10</v>
      </c>
    </row>
    <row r="87" spans="1:13" x14ac:dyDescent="0.25">
      <c r="A87" s="19"/>
      <c r="B87" s="8" t="s">
        <v>308</v>
      </c>
      <c r="C87" s="1" t="s">
        <v>66</v>
      </c>
      <c r="D87" s="24">
        <v>0.02</v>
      </c>
      <c r="E87" s="135">
        <f>E86</f>
        <v>0.01</v>
      </c>
      <c r="F87" s="2">
        <v>25</v>
      </c>
      <c r="G87" s="2">
        <v>0</v>
      </c>
      <c r="H87" s="2" t="s">
        <v>236</v>
      </c>
      <c r="I87" s="24" t="s">
        <v>265</v>
      </c>
      <c r="J87" s="24">
        <v>0.99</v>
      </c>
      <c r="K87" s="24">
        <v>1</v>
      </c>
      <c r="L87" s="109">
        <v>2000</v>
      </c>
      <c r="M87" s="253">
        <v>10</v>
      </c>
    </row>
    <row r="88" spans="1:13" x14ac:dyDescent="0.25">
      <c r="A88" s="19"/>
      <c r="B88" s="8" t="s">
        <v>308</v>
      </c>
      <c r="C88" t="s">
        <v>67</v>
      </c>
      <c r="D88" s="24">
        <v>0.02</v>
      </c>
      <c r="E88" s="135">
        <f t="shared" ref="E88:E92" si="7">E87</f>
        <v>0.01</v>
      </c>
      <c r="F88" s="2">
        <v>25</v>
      </c>
      <c r="G88" s="2">
        <v>0</v>
      </c>
      <c r="H88" s="2" t="s">
        <v>236</v>
      </c>
      <c r="I88" s="24" t="s">
        <v>265</v>
      </c>
      <c r="J88" s="24">
        <v>0.99</v>
      </c>
      <c r="K88" s="24">
        <v>1</v>
      </c>
      <c r="L88" s="109">
        <v>2000</v>
      </c>
      <c r="M88" s="253">
        <v>10</v>
      </c>
    </row>
    <row r="89" spans="1:13" x14ac:dyDescent="0.25">
      <c r="A89" s="19"/>
      <c r="B89" s="8" t="s">
        <v>308</v>
      </c>
      <c r="C89" t="s">
        <v>59</v>
      </c>
      <c r="D89" s="24">
        <v>0.02</v>
      </c>
      <c r="E89" s="135">
        <f t="shared" si="7"/>
        <v>0.01</v>
      </c>
      <c r="F89" s="2">
        <v>25</v>
      </c>
      <c r="G89" s="2">
        <v>0</v>
      </c>
      <c r="H89" s="2" t="s">
        <v>236</v>
      </c>
      <c r="I89" s="24" t="s">
        <v>265</v>
      </c>
      <c r="J89" s="24">
        <v>0.99</v>
      </c>
      <c r="K89" s="24">
        <v>1</v>
      </c>
      <c r="L89" s="109">
        <v>2000</v>
      </c>
      <c r="M89" s="253">
        <v>10</v>
      </c>
    </row>
    <row r="90" spans="1:13" x14ac:dyDescent="0.25">
      <c r="A90" s="19"/>
      <c r="B90" s="8" t="s">
        <v>308</v>
      </c>
      <c r="C90" t="s">
        <v>68</v>
      </c>
      <c r="D90" s="24">
        <v>0.02</v>
      </c>
      <c r="E90" s="135">
        <f t="shared" si="7"/>
        <v>0.01</v>
      </c>
      <c r="F90" s="2">
        <v>25</v>
      </c>
      <c r="G90" s="2">
        <v>0</v>
      </c>
      <c r="H90" s="2" t="s">
        <v>236</v>
      </c>
      <c r="I90" s="24" t="s">
        <v>265</v>
      </c>
      <c r="J90" s="24">
        <v>0.99</v>
      </c>
      <c r="K90" s="24">
        <v>1</v>
      </c>
      <c r="L90" s="109">
        <v>2000</v>
      </c>
      <c r="M90" s="253">
        <v>10</v>
      </c>
    </row>
    <row r="91" spans="1:13" x14ac:dyDescent="0.25">
      <c r="A91" s="19"/>
      <c r="B91" s="8" t="s">
        <v>308</v>
      </c>
      <c r="C91" t="s">
        <v>69</v>
      </c>
      <c r="D91" s="24">
        <v>0.02</v>
      </c>
      <c r="E91" s="135">
        <f t="shared" si="7"/>
        <v>0.01</v>
      </c>
      <c r="F91" s="2">
        <v>25</v>
      </c>
      <c r="G91" s="2">
        <v>0</v>
      </c>
      <c r="H91" s="2" t="s">
        <v>236</v>
      </c>
      <c r="I91" s="24" t="s">
        <v>265</v>
      </c>
      <c r="J91" s="24">
        <v>0.99</v>
      </c>
      <c r="K91" s="24">
        <v>1</v>
      </c>
      <c r="L91" s="109">
        <v>2000</v>
      </c>
      <c r="M91" s="253">
        <v>10</v>
      </c>
    </row>
    <row r="92" spans="1:13" x14ac:dyDescent="0.25">
      <c r="A92" s="19"/>
      <c r="B92" s="8" t="s">
        <v>308</v>
      </c>
      <c r="C92" t="s">
        <v>86</v>
      </c>
      <c r="D92" s="24">
        <v>0.02</v>
      </c>
      <c r="E92" s="135">
        <f t="shared" si="7"/>
        <v>0.01</v>
      </c>
      <c r="F92" s="2">
        <v>25</v>
      </c>
      <c r="G92" s="2">
        <v>0</v>
      </c>
      <c r="H92" s="2" t="s">
        <v>236</v>
      </c>
      <c r="I92" s="24" t="s">
        <v>265</v>
      </c>
      <c r="J92" s="24">
        <v>0.99</v>
      </c>
      <c r="K92" s="24">
        <v>1</v>
      </c>
      <c r="L92" s="109">
        <v>2000</v>
      </c>
      <c r="M92" s="253">
        <v>10</v>
      </c>
    </row>
    <row r="93" spans="1:13" x14ac:dyDescent="0.25">
      <c r="A93" s="19"/>
      <c r="B93" s="8" t="s">
        <v>308</v>
      </c>
      <c r="C93" t="s">
        <v>70</v>
      </c>
      <c r="D93" s="24">
        <v>0.02</v>
      </c>
      <c r="E93" s="135">
        <f>E92</f>
        <v>0.01</v>
      </c>
      <c r="F93" s="2">
        <v>25</v>
      </c>
      <c r="G93" s="2">
        <v>0</v>
      </c>
      <c r="H93" s="2" t="s">
        <v>236</v>
      </c>
      <c r="I93" s="24" t="s">
        <v>265</v>
      </c>
      <c r="J93" s="24">
        <v>0.99</v>
      </c>
      <c r="K93" s="24">
        <v>1</v>
      </c>
      <c r="L93" s="109">
        <v>2000</v>
      </c>
      <c r="M93" s="253">
        <v>10</v>
      </c>
    </row>
    <row r="94" spans="1:13" x14ac:dyDescent="0.25">
      <c r="A94" s="19"/>
      <c r="B94" s="8" t="s">
        <v>308</v>
      </c>
      <c r="C94" s="77" t="s">
        <v>77</v>
      </c>
      <c r="D94" s="111">
        <v>0.02</v>
      </c>
      <c r="E94" s="136">
        <f>E92</f>
        <v>0.01</v>
      </c>
      <c r="F94" s="106">
        <v>25</v>
      </c>
      <c r="G94" s="248">
        <v>0</v>
      </c>
      <c r="H94" s="106" t="s">
        <v>236</v>
      </c>
      <c r="I94" s="111" t="s">
        <v>265</v>
      </c>
      <c r="J94" s="111">
        <v>0.99</v>
      </c>
      <c r="K94" s="111">
        <v>1</v>
      </c>
      <c r="L94" s="112">
        <v>2000</v>
      </c>
      <c r="M94" s="254">
        <v>10</v>
      </c>
    </row>
    <row r="95" spans="1:13" x14ac:dyDescent="0.25">
      <c r="A95" s="19"/>
      <c r="B95" s="8" t="s">
        <v>507</v>
      </c>
      <c r="C95" s="1" t="s">
        <v>65</v>
      </c>
      <c r="D95" s="24">
        <v>0.02</v>
      </c>
      <c r="E95" s="135">
        <f>M95/1000</f>
        <v>0.01</v>
      </c>
      <c r="F95" s="24">
        <v>25</v>
      </c>
      <c r="G95" s="2">
        <v>0</v>
      </c>
      <c r="H95" s="153" t="s">
        <v>236</v>
      </c>
      <c r="I95" s="24" t="s">
        <v>507</v>
      </c>
      <c r="J95" s="24">
        <v>0.99</v>
      </c>
      <c r="K95" s="24">
        <v>1</v>
      </c>
      <c r="L95" s="110">
        <v>2400</v>
      </c>
      <c r="M95" s="253">
        <v>10</v>
      </c>
    </row>
    <row r="96" spans="1:13" x14ac:dyDescent="0.25">
      <c r="A96" s="19"/>
      <c r="B96" s="8" t="s">
        <v>507</v>
      </c>
      <c r="C96" s="1" t="s">
        <v>66</v>
      </c>
      <c r="D96" s="24">
        <v>0.02</v>
      </c>
      <c r="E96" s="135">
        <f>E95</f>
        <v>0.01</v>
      </c>
      <c r="F96" s="24">
        <v>25</v>
      </c>
      <c r="G96" s="2">
        <v>0</v>
      </c>
      <c r="H96" s="2">
        <v>0</v>
      </c>
      <c r="I96" s="24" t="s">
        <v>507</v>
      </c>
      <c r="J96" s="24">
        <v>0.99</v>
      </c>
      <c r="K96" s="24">
        <v>1</v>
      </c>
      <c r="L96" s="110">
        <v>2400</v>
      </c>
      <c r="M96" s="253">
        <v>10</v>
      </c>
    </row>
    <row r="97" spans="1:13" x14ac:dyDescent="0.25">
      <c r="A97" s="19"/>
      <c r="B97" s="8" t="s">
        <v>507</v>
      </c>
      <c r="C97" t="s">
        <v>67</v>
      </c>
      <c r="D97" s="24">
        <v>0.02</v>
      </c>
      <c r="E97" s="135">
        <f t="shared" ref="E97:E101" si="8">E96</f>
        <v>0.01</v>
      </c>
      <c r="F97" s="24">
        <v>25</v>
      </c>
      <c r="G97" s="2">
        <v>0</v>
      </c>
      <c r="H97" s="2">
        <v>0</v>
      </c>
      <c r="I97" s="24" t="s">
        <v>507</v>
      </c>
      <c r="J97" s="24">
        <v>0.99</v>
      </c>
      <c r="K97" s="24">
        <v>1</v>
      </c>
      <c r="L97" s="110">
        <v>2400</v>
      </c>
      <c r="M97" s="253">
        <v>10</v>
      </c>
    </row>
    <row r="98" spans="1:13" x14ac:dyDescent="0.25">
      <c r="A98" s="19"/>
      <c r="B98" s="8" t="s">
        <v>507</v>
      </c>
      <c r="C98" t="s">
        <v>59</v>
      </c>
      <c r="D98" s="24">
        <v>0.02</v>
      </c>
      <c r="E98" s="135">
        <f t="shared" si="8"/>
        <v>0.01</v>
      </c>
      <c r="F98" s="24">
        <v>25</v>
      </c>
      <c r="G98" s="2">
        <v>0</v>
      </c>
      <c r="H98" s="2" t="s">
        <v>236</v>
      </c>
      <c r="I98" s="24" t="s">
        <v>507</v>
      </c>
      <c r="J98" s="24">
        <v>0.99</v>
      </c>
      <c r="K98" s="24">
        <v>1</v>
      </c>
      <c r="L98" s="110">
        <v>2400</v>
      </c>
      <c r="M98" s="253">
        <v>10</v>
      </c>
    </row>
    <row r="99" spans="1:13" x14ac:dyDescent="0.25">
      <c r="A99" s="19"/>
      <c r="B99" s="8" t="s">
        <v>507</v>
      </c>
      <c r="C99" t="s">
        <v>68</v>
      </c>
      <c r="D99" s="24">
        <v>0.02</v>
      </c>
      <c r="E99" s="135">
        <f t="shared" si="8"/>
        <v>0.01</v>
      </c>
      <c r="F99" s="24">
        <v>25</v>
      </c>
      <c r="G99" s="2">
        <v>0</v>
      </c>
      <c r="H99" s="2" t="s">
        <v>236</v>
      </c>
      <c r="I99" s="24" t="s">
        <v>507</v>
      </c>
      <c r="J99" s="24">
        <v>0.99</v>
      </c>
      <c r="K99" s="24">
        <v>1</v>
      </c>
      <c r="L99" s="110">
        <v>2400</v>
      </c>
      <c r="M99" s="253">
        <v>10</v>
      </c>
    </row>
    <row r="100" spans="1:13" x14ac:dyDescent="0.25">
      <c r="A100" s="19"/>
      <c r="B100" s="8" t="s">
        <v>507</v>
      </c>
      <c r="C100" t="s">
        <v>69</v>
      </c>
      <c r="D100" s="24">
        <v>0.02</v>
      </c>
      <c r="E100" s="135">
        <f t="shared" si="8"/>
        <v>0.01</v>
      </c>
      <c r="F100" s="24">
        <v>25</v>
      </c>
      <c r="G100" s="2">
        <v>0</v>
      </c>
      <c r="H100" s="2" t="s">
        <v>236</v>
      </c>
      <c r="I100" s="24" t="s">
        <v>507</v>
      </c>
      <c r="J100" s="24">
        <v>0.99</v>
      </c>
      <c r="K100" s="24">
        <v>1</v>
      </c>
      <c r="L100" s="110">
        <v>2400</v>
      </c>
      <c r="M100" s="253">
        <v>10</v>
      </c>
    </row>
    <row r="101" spans="1:13" x14ac:dyDescent="0.25">
      <c r="A101" s="19"/>
      <c r="B101" s="8" t="s">
        <v>507</v>
      </c>
      <c r="C101" t="s">
        <v>86</v>
      </c>
      <c r="D101" s="24">
        <v>0.02</v>
      </c>
      <c r="E101" s="135">
        <f t="shared" si="8"/>
        <v>0.01</v>
      </c>
      <c r="F101" s="24">
        <v>25</v>
      </c>
      <c r="G101" s="2">
        <v>0</v>
      </c>
      <c r="H101" s="2">
        <v>0</v>
      </c>
      <c r="I101" s="24" t="s">
        <v>507</v>
      </c>
      <c r="J101" s="24">
        <v>0.99</v>
      </c>
      <c r="K101" s="24">
        <v>1</v>
      </c>
      <c r="L101" s="110">
        <v>2400</v>
      </c>
      <c r="M101" s="253">
        <v>10</v>
      </c>
    </row>
    <row r="102" spans="1:13" x14ac:dyDescent="0.25">
      <c r="A102" s="19"/>
      <c r="B102" s="8" t="s">
        <v>507</v>
      </c>
      <c r="C102" t="s">
        <v>70</v>
      </c>
      <c r="D102" s="24">
        <v>0.02</v>
      </c>
      <c r="E102" s="135">
        <f>E101</f>
        <v>0.01</v>
      </c>
      <c r="F102" s="24">
        <v>25</v>
      </c>
      <c r="G102" s="2">
        <v>0</v>
      </c>
      <c r="H102" s="2">
        <v>0</v>
      </c>
      <c r="I102" s="24" t="s">
        <v>507</v>
      </c>
      <c r="J102" s="24">
        <v>0.99</v>
      </c>
      <c r="K102" s="24">
        <v>1</v>
      </c>
      <c r="L102" s="110">
        <v>2400</v>
      </c>
      <c r="M102" s="253">
        <v>10</v>
      </c>
    </row>
    <row r="103" spans="1:13" x14ac:dyDescent="0.25">
      <c r="A103" s="19"/>
      <c r="B103" s="8" t="s">
        <v>507</v>
      </c>
      <c r="C103" s="198" t="s">
        <v>77</v>
      </c>
      <c r="D103" s="245">
        <v>0.02</v>
      </c>
      <c r="E103" s="136">
        <f>E101</f>
        <v>0.01</v>
      </c>
      <c r="F103" s="245">
        <v>25</v>
      </c>
      <c r="G103" s="248">
        <v>0</v>
      </c>
      <c r="H103" s="248" t="s">
        <v>236</v>
      </c>
      <c r="I103" s="245" t="s">
        <v>507</v>
      </c>
      <c r="J103" s="111">
        <v>0.99</v>
      </c>
      <c r="K103" s="245">
        <v>1</v>
      </c>
      <c r="L103" s="247">
        <v>2400</v>
      </c>
      <c r="M103" s="254">
        <v>10</v>
      </c>
    </row>
    <row r="104" spans="1:13" x14ac:dyDescent="0.25">
      <c r="A104" s="19"/>
      <c r="B104" s="8" t="s">
        <v>266</v>
      </c>
      <c r="C104" s="1" t="s">
        <v>65</v>
      </c>
      <c r="D104" s="24">
        <v>6.0000000000000001E-3</v>
      </c>
      <c r="E104" s="137">
        <v>0</v>
      </c>
      <c r="F104" s="24">
        <v>50</v>
      </c>
      <c r="G104" s="2">
        <v>0</v>
      </c>
      <c r="H104" s="24">
        <v>0</v>
      </c>
      <c r="I104" s="24" t="s">
        <v>272</v>
      </c>
      <c r="J104" s="24">
        <v>0.99</v>
      </c>
      <c r="K104" s="24">
        <v>1</v>
      </c>
      <c r="L104" s="110">
        <v>0</v>
      </c>
      <c r="M104" s="110">
        <v>0</v>
      </c>
    </row>
    <row r="105" spans="1:13" x14ac:dyDescent="0.25">
      <c r="A105" s="19"/>
      <c r="B105" s="8" t="s">
        <v>266</v>
      </c>
      <c r="C105" s="1" t="s">
        <v>66</v>
      </c>
      <c r="D105" s="24">
        <v>6.0000000000000001E-3</v>
      </c>
      <c r="E105" s="137">
        <v>0</v>
      </c>
      <c r="F105" s="24">
        <v>50</v>
      </c>
      <c r="G105" s="2">
        <v>0</v>
      </c>
      <c r="H105" s="24">
        <v>0</v>
      </c>
      <c r="I105" s="24" t="s">
        <v>272</v>
      </c>
      <c r="J105" s="24">
        <v>0.99</v>
      </c>
      <c r="K105" s="24">
        <v>1</v>
      </c>
      <c r="L105" s="110">
        <v>0</v>
      </c>
      <c r="M105" s="110">
        <v>0</v>
      </c>
    </row>
    <row r="106" spans="1:13" x14ac:dyDescent="0.25">
      <c r="A106" s="19"/>
      <c r="B106" s="8" t="s">
        <v>266</v>
      </c>
      <c r="C106" t="s">
        <v>67</v>
      </c>
      <c r="D106" s="24">
        <v>6.0000000000000001E-3</v>
      </c>
      <c r="E106" s="137">
        <v>0</v>
      </c>
      <c r="F106" s="24">
        <v>50</v>
      </c>
      <c r="G106" s="2">
        <v>0</v>
      </c>
      <c r="H106" s="24">
        <v>0</v>
      </c>
      <c r="I106" s="24" t="s">
        <v>272</v>
      </c>
      <c r="J106" s="24">
        <v>0.99</v>
      </c>
      <c r="K106" s="24">
        <v>1</v>
      </c>
      <c r="L106" s="110">
        <v>0</v>
      </c>
      <c r="M106" s="110">
        <v>0</v>
      </c>
    </row>
    <row r="107" spans="1:13" x14ac:dyDescent="0.25">
      <c r="A107" s="19"/>
      <c r="B107" s="8" t="s">
        <v>266</v>
      </c>
      <c r="C107" t="s">
        <v>59</v>
      </c>
      <c r="D107" s="24">
        <v>6.0000000000000001E-3</v>
      </c>
      <c r="E107" s="137">
        <v>0</v>
      </c>
      <c r="F107" s="24">
        <v>50</v>
      </c>
      <c r="G107" s="2">
        <v>0</v>
      </c>
      <c r="H107" s="24">
        <v>0</v>
      </c>
      <c r="I107" s="24" t="s">
        <v>272</v>
      </c>
      <c r="J107" s="24">
        <v>0.99</v>
      </c>
      <c r="K107" s="24">
        <v>1</v>
      </c>
      <c r="L107" s="110">
        <v>0</v>
      </c>
      <c r="M107" s="110">
        <v>0</v>
      </c>
    </row>
    <row r="108" spans="1:13" x14ac:dyDescent="0.25">
      <c r="A108" s="19"/>
      <c r="B108" s="8" t="s">
        <v>266</v>
      </c>
      <c r="C108" t="s">
        <v>68</v>
      </c>
      <c r="D108" s="24">
        <v>6.0000000000000001E-3</v>
      </c>
      <c r="E108" s="137">
        <v>0</v>
      </c>
      <c r="F108" s="24">
        <v>50</v>
      </c>
      <c r="G108" s="2">
        <v>0</v>
      </c>
      <c r="H108" s="24">
        <v>0</v>
      </c>
      <c r="I108" s="24" t="s">
        <v>272</v>
      </c>
      <c r="J108" s="24">
        <v>0.99</v>
      </c>
      <c r="K108" s="24">
        <v>1</v>
      </c>
      <c r="L108" s="110">
        <v>0</v>
      </c>
      <c r="M108" s="110">
        <v>0</v>
      </c>
    </row>
    <row r="109" spans="1:13" x14ac:dyDescent="0.25">
      <c r="A109" s="19"/>
      <c r="B109" s="8" t="s">
        <v>266</v>
      </c>
      <c r="C109" t="s">
        <v>69</v>
      </c>
      <c r="D109" s="24">
        <v>6.0000000000000001E-3</v>
      </c>
      <c r="E109" s="137">
        <v>0</v>
      </c>
      <c r="F109" s="24">
        <v>50</v>
      </c>
      <c r="G109" s="2">
        <v>0</v>
      </c>
      <c r="H109" s="24">
        <v>0</v>
      </c>
      <c r="I109" s="24" t="s">
        <v>272</v>
      </c>
      <c r="J109" s="24">
        <v>0.99</v>
      </c>
      <c r="K109" s="24">
        <v>1</v>
      </c>
      <c r="L109" s="110">
        <v>0</v>
      </c>
      <c r="M109" s="110">
        <v>0</v>
      </c>
    </row>
    <row r="110" spans="1:13" x14ac:dyDescent="0.25">
      <c r="A110" s="19"/>
      <c r="B110" s="8" t="s">
        <v>266</v>
      </c>
      <c r="C110" t="s">
        <v>86</v>
      </c>
      <c r="D110" s="24">
        <v>6.0000000000000001E-3</v>
      </c>
      <c r="E110" s="137">
        <v>0</v>
      </c>
      <c r="F110" s="24">
        <v>50</v>
      </c>
      <c r="G110" s="2">
        <v>0</v>
      </c>
      <c r="H110" s="24">
        <v>0</v>
      </c>
      <c r="I110" s="24" t="s">
        <v>272</v>
      </c>
      <c r="J110" s="24">
        <v>0.99</v>
      </c>
      <c r="K110" s="24">
        <v>1</v>
      </c>
      <c r="L110" s="110">
        <v>0</v>
      </c>
      <c r="M110" s="110">
        <v>0</v>
      </c>
    </row>
    <row r="111" spans="1:13" x14ac:dyDescent="0.25">
      <c r="A111" s="19"/>
      <c r="B111" s="8" t="s">
        <v>266</v>
      </c>
      <c r="C111" t="s">
        <v>70</v>
      </c>
      <c r="D111" s="24">
        <v>6.0000000000000001E-3</v>
      </c>
      <c r="E111" s="137">
        <v>0</v>
      </c>
      <c r="F111" s="24">
        <v>50</v>
      </c>
      <c r="G111" s="2">
        <v>0</v>
      </c>
      <c r="H111" s="24">
        <v>0</v>
      </c>
      <c r="I111" s="24" t="s">
        <v>272</v>
      </c>
      <c r="J111" s="24">
        <v>0.99</v>
      </c>
      <c r="K111" s="24">
        <v>1</v>
      </c>
      <c r="L111" s="110">
        <v>0</v>
      </c>
      <c r="M111" s="110">
        <v>0</v>
      </c>
    </row>
    <row r="112" spans="1:13" x14ac:dyDescent="0.25">
      <c r="A112" s="19"/>
      <c r="B112" s="8" t="s">
        <v>266</v>
      </c>
      <c r="C112" s="198" t="s">
        <v>77</v>
      </c>
      <c r="D112" s="245">
        <v>6.0000000000000001E-3</v>
      </c>
      <c r="E112" s="246">
        <v>0</v>
      </c>
      <c r="F112" s="245">
        <v>50</v>
      </c>
      <c r="G112" s="248">
        <v>0</v>
      </c>
      <c r="H112" s="245">
        <v>0</v>
      </c>
      <c r="I112" s="245" t="s">
        <v>272</v>
      </c>
      <c r="J112" s="111">
        <v>0.99</v>
      </c>
      <c r="K112" s="245">
        <v>1</v>
      </c>
      <c r="L112" s="247">
        <v>0</v>
      </c>
      <c r="M112" s="247">
        <v>0</v>
      </c>
    </row>
    <row r="113" spans="2:13" x14ac:dyDescent="0.25">
      <c r="B113" s="8"/>
      <c r="C113" s="8"/>
      <c r="D113" s="24"/>
      <c r="E113" s="137"/>
      <c r="F113" s="24"/>
      <c r="G113" s="24"/>
      <c r="H113" s="154"/>
      <c r="I113" s="24"/>
      <c r="J113" s="24"/>
      <c r="K113" s="24"/>
      <c r="L113" s="24"/>
      <c r="M113" s="222"/>
    </row>
    <row r="114" spans="2:13" x14ac:dyDescent="0.25">
      <c r="B114" s="8"/>
      <c r="C114" s="8"/>
      <c r="D114" s="24"/>
      <c r="E114" s="137"/>
      <c r="F114" s="24"/>
      <c r="G114" s="24"/>
      <c r="H114" s="154"/>
      <c r="I114" s="24"/>
      <c r="J114" s="24"/>
      <c r="K114" s="24"/>
      <c r="L114" s="24"/>
      <c r="M114" s="222"/>
    </row>
    <row r="115" spans="2:13" x14ac:dyDescent="0.25">
      <c r="B115" s="8"/>
      <c r="C115" s="8"/>
      <c r="D115" s="24"/>
      <c r="E115" s="137"/>
      <c r="F115" s="24"/>
      <c r="G115" s="24"/>
      <c r="H115" s="154"/>
      <c r="I115" s="24"/>
      <c r="J115" s="24"/>
      <c r="K115" s="24"/>
      <c r="L115" s="24"/>
      <c r="M115" s="222"/>
    </row>
    <row r="116" spans="2:13" x14ac:dyDescent="0.25">
      <c r="B116" s="8"/>
      <c r="C116" s="8"/>
      <c r="D116" s="24"/>
      <c r="E116" s="137"/>
      <c r="F116" s="24"/>
      <c r="G116" s="24"/>
      <c r="H116" s="154"/>
      <c r="I116" s="24"/>
      <c r="J116" s="24"/>
      <c r="K116" s="24"/>
      <c r="L116" s="24"/>
      <c r="M116" s="222"/>
    </row>
    <row r="117" spans="2:13" x14ac:dyDescent="0.25">
      <c r="B117" s="8"/>
      <c r="C117" s="8"/>
      <c r="D117" s="24"/>
      <c r="E117" s="137"/>
      <c r="F117" s="24"/>
      <c r="G117" s="24"/>
      <c r="H117" s="154"/>
      <c r="I117" s="24"/>
      <c r="J117" s="24"/>
      <c r="K117" s="24"/>
      <c r="L117" s="24"/>
      <c r="M117" s="222"/>
    </row>
    <row r="118" spans="2:13" x14ac:dyDescent="0.25">
      <c r="B118" s="8"/>
      <c r="C118" s="8"/>
      <c r="D118" s="24"/>
      <c r="E118" s="137"/>
      <c r="F118" s="24"/>
      <c r="G118" s="24"/>
      <c r="H118" s="154"/>
      <c r="I118" s="24"/>
      <c r="J118" s="24"/>
      <c r="K118" s="24"/>
      <c r="L118" s="24"/>
      <c r="M118" s="222"/>
    </row>
    <row r="119" spans="2:13" x14ac:dyDescent="0.25">
      <c r="B119" s="8"/>
      <c r="C119" s="8"/>
      <c r="D119" s="24"/>
      <c r="E119" s="137"/>
      <c r="F119" s="24"/>
      <c r="G119" s="24"/>
      <c r="H119" s="154"/>
      <c r="I119" s="24"/>
      <c r="J119" s="24"/>
      <c r="K119" s="24"/>
      <c r="L119" s="24"/>
      <c r="M119" s="222"/>
    </row>
    <row r="120" spans="2:13" x14ac:dyDescent="0.25">
      <c r="B120" s="8"/>
      <c r="C120" s="8"/>
      <c r="D120" s="24"/>
      <c r="E120" s="137"/>
      <c r="F120" s="24"/>
      <c r="G120" s="24"/>
      <c r="H120" s="154"/>
      <c r="I120" s="24"/>
      <c r="J120" s="24"/>
      <c r="K120" s="24"/>
      <c r="L120" s="24"/>
      <c r="M120" s="222"/>
    </row>
    <row r="121" spans="2:13" x14ac:dyDescent="0.25">
      <c r="B121" s="8"/>
      <c r="C121" s="8"/>
      <c r="D121" s="24"/>
      <c r="E121" s="137"/>
      <c r="F121" s="24"/>
      <c r="G121" s="24"/>
      <c r="H121" s="154"/>
      <c r="I121" s="24"/>
      <c r="J121" s="24"/>
      <c r="K121" s="24"/>
      <c r="L121" s="24"/>
      <c r="M121" s="222"/>
    </row>
    <row r="122" spans="2:13" x14ac:dyDescent="0.25">
      <c r="B122" s="8"/>
      <c r="C122" s="8"/>
      <c r="D122" s="24"/>
      <c r="E122" s="137"/>
      <c r="F122" s="24"/>
      <c r="G122" s="24"/>
      <c r="H122" s="154"/>
      <c r="I122" s="24"/>
      <c r="J122" s="24"/>
      <c r="K122" s="24"/>
      <c r="L122" s="24"/>
      <c r="M122" s="24"/>
    </row>
    <row r="123" spans="2:13" x14ac:dyDescent="0.25">
      <c r="B123" s="8"/>
      <c r="C123" s="8"/>
      <c r="D123" s="24"/>
      <c r="E123" s="137"/>
      <c r="F123" s="24"/>
      <c r="G123" s="24"/>
      <c r="H123" s="154"/>
      <c r="I123" s="24"/>
      <c r="J123" s="24"/>
      <c r="K123" s="24"/>
      <c r="L123" s="24"/>
      <c r="M123" s="24"/>
    </row>
    <row r="124" spans="2:13" x14ac:dyDescent="0.25">
      <c r="B124" s="8"/>
      <c r="C124" s="8"/>
      <c r="D124" s="24"/>
      <c r="E124" s="137"/>
      <c r="F124" s="24"/>
      <c r="G124" s="24"/>
      <c r="H124" s="154"/>
      <c r="I124" s="24"/>
      <c r="J124" s="24"/>
      <c r="K124" s="24"/>
      <c r="L124" s="24"/>
      <c r="M124" s="24"/>
    </row>
    <row r="125" spans="2:13" x14ac:dyDescent="0.25">
      <c r="B125" s="8"/>
      <c r="C125" s="8"/>
      <c r="D125" s="24"/>
      <c r="E125" s="137"/>
      <c r="F125" s="24"/>
      <c r="G125" s="24"/>
      <c r="H125" s="24"/>
      <c r="I125" s="24"/>
      <c r="J125" s="24"/>
      <c r="K125" s="24"/>
      <c r="L125" s="24"/>
      <c r="M125" s="24"/>
    </row>
    <row r="126" spans="2:13" x14ac:dyDescent="0.25">
      <c r="B126" s="8"/>
      <c r="C126" s="8"/>
      <c r="D126" s="24"/>
      <c r="E126" s="137"/>
      <c r="F126" s="24"/>
      <c r="G126" s="24"/>
      <c r="H126" s="24"/>
      <c r="I126" s="24"/>
      <c r="J126" s="24"/>
      <c r="K126" s="24"/>
      <c r="L126" s="24"/>
      <c r="M126" s="24"/>
    </row>
    <row r="127" spans="2:13" x14ac:dyDescent="0.25">
      <c r="B127" s="8"/>
      <c r="C127" s="8"/>
      <c r="D127" s="24"/>
      <c r="E127" s="137"/>
      <c r="F127" s="24"/>
      <c r="G127" s="24"/>
      <c r="H127" s="24"/>
      <c r="I127" s="24"/>
      <c r="J127" s="24"/>
      <c r="K127" s="24"/>
      <c r="L127" s="24"/>
      <c r="M127" s="24"/>
    </row>
    <row r="128" spans="2:13" x14ac:dyDescent="0.25">
      <c r="B128" s="8"/>
      <c r="C128" s="8"/>
      <c r="D128" s="24"/>
      <c r="E128" s="137"/>
      <c r="F128" s="24"/>
      <c r="G128" s="24"/>
      <c r="H128" s="24"/>
      <c r="I128" s="24"/>
      <c r="J128" s="24"/>
      <c r="K128" s="24"/>
      <c r="L128" s="24"/>
      <c r="M128" s="24"/>
    </row>
    <row r="129" spans="2:13" x14ac:dyDescent="0.25">
      <c r="B129" s="8"/>
      <c r="C129" s="8"/>
      <c r="D129" s="24"/>
      <c r="E129" s="137"/>
      <c r="F129" s="24"/>
      <c r="G129" s="24"/>
      <c r="H129" s="24"/>
      <c r="I129" s="24"/>
      <c r="J129" s="24"/>
      <c r="K129" s="24"/>
      <c r="L129" s="24"/>
      <c r="M129" s="24"/>
    </row>
    <row r="130" spans="2:13" x14ac:dyDescent="0.25">
      <c r="B130" s="8"/>
      <c r="C130" s="8"/>
      <c r="D130" s="24"/>
      <c r="E130" s="137"/>
      <c r="F130" s="24"/>
      <c r="G130" s="24"/>
      <c r="H130" s="24"/>
      <c r="I130" s="24"/>
      <c r="J130" s="24"/>
      <c r="K130" s="24"/>
      <c r="L130" s="24"/>
      <c r="M130" s="24"/>
    </row>
    <row r="131" spans="2:13" x14ac:dyDescent="0.25">
      <c r="B131" s="8"/>
      <c r="C131" s="8"/>
      <c r="D131" s="24"/>
      <c r="E131" s="137"/>
      <c r="F131" s="24"/>
      <c r="G131" s="24"/>
      <c r="H131" s="154"/>
      <c r="I131" s="24"/>
      <c r="J131" s="24"/>
      <c r="K131" s="24"/>
      <c r="L131" s="24"/>
      <c r="M131" s="222"/>
    </row>
    <row r="132" spans="2:13" x14ac:dyDescent="0.25">
      <c r="B132" s="8"/>
      <c r="C132" s="8"/>
      <c r="D132" s="24"/>
      <c r="E132" s="137"/>
      <c r="F132" s="24"/>
      <c r="G132" s="24"/>
      <c r="H132" s="24"/>
      <c r="I132" s="24"/>
      <c r="J132" s="24"/>
      <c r="K132" s="24"/>
      <c r="L132" s="24"/>
      <c r="M132" s="222"/>
    </row>
    <row r="133" spans="2:13" x14ac:dyDescent="0.25">
      <c r="B133" s="8"/>
      <c r="C133" s="8"/>
      <c r="D133" s="24"/>
      <c r="E133" s="137"/>
      <c r="F133" s="24"/>
      <c r="G133" s="24"/>
      <c r="H133" s="24"/>
      <c r="I133" s="24"/>
      <c r="J133" s="24"/>
      <c r="K133" s="24"/>
      <c r="L133" s="24"/>
      <c r="M133" s="222"/>
    </row>
    <row r="134" spans="2:13" x14ac:dyDescent="0.25">
      <c r="B134" s="8"/>
      <c r="C134" s="8"/>
      <c r="D134" s="24"/>
      <c r="E134" s="137"/>
      <c r="F134" s="24"/>
      <c r="G134" s="24"/>
      <c r="H134" s="24"/>
      <c r="I134" s="24"/>
      <c r="J134" s="24"/>
      <c r="K134" s="24"/>
      <c r="L134" s="24"/>
      <c r="M134" s="222"/>
    </row>
    <row r="135" spans="2:13" x14ac:dyDescent="0.25">
      <c r="B135" s="8"/>
      <c r="C135" s="8"/>
      <c r="D135" s="24"/>
      <c r="E135" s="137"/>
      <c r="F135" s="24"/>
      <c r="G135" s="24"/>
      <c r="H135" s="24"/>
      <c r="I135" s="24"/>
      <c r="J135" s="24"/>
      <c r="K135" s="24"/>
      <c r="L135" s="24"/>
      <c r="M135" s="222"/>
    </row>
    <row r="136" spans="2:13" x14ac:dyDescent="0.25">
      <c r="B136" s="8"/>
      <c r="C136" s="8"/>
      <c r="D136" s="24"/>
      <c r="E136" s="137"/>
      <c r="F136" s="24"/>
      <c r="G136" s="24"/>
      <c r="H136" s="24"/>
      <c r="I136" s="24"/>
      <c r="J136" s="24"/>
      <c r="K136" s="24"/>
      <c r="L136" s="24"/>
      <c r="M136" s="222"/>
    </row>
    <row r="137" spans="2:13" x14ac:dyDescent="0.25">
      <c r="B137" s="8"/>
      <c r="C137" s="8"/>
      <c r="D137" s="24"/>
      <c r="E137" s="137"/>
      <c r="F137" s="24"/>
      <c r="G137" s="24"/>
      <c r="H137" s="24"/>
      <c r="I137" s="24"/>
      <c r="J137" s="24"/>
      <c r="K137" s="24"/>
      <c r="L137" s="24"/>
      <c r="M137" s="222"/>
    </row>
    <row r="138" spans="2:13" x14ac:dyDescent="0.25">
      <c r="B138" s="8"/>
      <c r="C138" s="8"/>
      <c r="D138" s="24"/>
      <c r="E138" s="137"/>
      <c r="F138" s="24"/>
      <c r="G138" s="24"/>
      <c r="H138" s="24"/>
      <c r="I138" s="24"/>
      <c r="J138" s="24"/>
      <c r="K138" s="24"/>
      <c r="L138" s="24"/>
      <c r="M138" s="222"/>
    </row>
    <row r="139" spans="2:13" x14ac:dyDescent="0.25">
      <c r="B139" s="8"/>
      <c r="C139" s="8"/>
      <c r="D139" s="24"/>
      <c r="E139" s="137"/>
      <c r="F139" s="24"/>
      <c r="G139" s="24"/>
      <c r="H139" s="24"/>
      <c r="I139" s="24"/>
      <c r="J139" s="24"/>
      <c r="K139" s="24"/>
      <c r="L139" s="24"/>
      <c r="M139" s="222"/>
    </row>
    <row r="140" spans="2:13" x14ac:dyDescent="0.25">
      <c r="B140" s="8"/>
      <c r="C140" s="8"/>
      <c r="D140" s="24"/>
      <c r="E140" s="137"/>
      <c r="F140" s="24"/>
      <c r="G140" s="24"/>
      <c r="H140" s="24"/>
      <c r="I140" s="24"/>
      <c r="J140" s="24"/>
      <c r="K140" s="24"/>
      <c r="L140" s="24"/>
      <c r="M140" s="222"/>
    </row>
    <row r="141" spans="2:13" x14ac:dyDescent="0.25">
      <c r="B141" s="8"/>
      <c r="C141" s="8"/>
      <c r="D141" s="24"/>
      <c r="E141" s="137"/>
      <c r="F141" s="24"/>
      <c r="G141" s="24"/>
      <c r="H141" s="24"/>
      <c r="I141" s="24"/>
      <c r="J141" s="24"/>
      <c r="K141" s="24"/>
      <c r="L141" s="24"/>
      <c r="M141" s="222"/>
    </row>
    <row r="142" spans="2:13" x14ac:dyDescent="0.25">
      <c r="B142" s="8"/>
      <c r="C142" s="8"/>
      <c r="D142" s="24"/>
      <c r="E142" s="137"/>
      <c r="F142" s="24"/>
      <c r="G142" s="24"/>
      <c r="H142" s="24"/>
      <c r="I142" s="24"/>
      <c r="J142" s="24"/>
      <c r="K142" s="24"/>
      <c r="L142" s="24"/>
      <c r="M142" s="222"/>
    </row>
    <row r="143" spans="2:13" x14ac:dyDescent="0.25">
      <c r="B143" s="8"/>
      <c r="C143" s="8"/>
      <c r="D143" s="24"/>
      <c r="E143" s="137"/>
      <c r="F143" s="24"/>
      <c r="G143" s="24"/>
      <c r="H143" s="24"/>
      <c r="I143" s="24"/>
      <c r="J143" s="24"/>
      <c r="K143" s="24"/>
      <c r="L143" s="24"/>
      <c r="M143" s="222"/>
    </row>
    <row r="144" spans="2:13" x14ac:dyDescent="0.25">
      <c r="B144" s="8"/>
      <c r="C144" s="8"/>
      <c r="D144" s="24"/>
      <c r="E144" s="137"/>
      <c r="F144" s="24"/>
      <c r="G144" s="24"/>
      <c r="H144" s="24"/>
      <c r="I144" s="24"/>
      <c r="J144" s="24"/>
      <c r="K144" s="24"/>
      <c r="L144" s="24"/>
      <c r="M144" s="24"/>
    </row>
    <row r="145" spans="2:13" x14ac:dyDescent="0.25">
      <c r="B145" s="8"/>
      <c r="C145" s="8"/>
      <c r="D145" s="24"/>
      <c r="E145" s="137"/>
      <c r="F145" s="24"/>
      <c r="G145" s="24"/>
      <c r="H145" s="24"/>
      <c r="I145" s="24"/>
      <c r="J145" s="24"/>
      <c r="K145" s="24"/>
      <c r="L145" s="24"/>
      <c r="M145" s="24"/>
    </row>
    <row r="146" spans="2:13" x14ac:dyDescent="0.25">
      <c r="B146" s="8"/>
      <c r="C146" s="8"/>
      <c r="D146" s="24"/>
      <c r="E146" s="137"/>
      <c r="F146" s="24"/>
      <c r="G146" s="24"/>
      <c r="H146" s="24"/>
      <c r="I146" s="24"/>
      <c r="J146" s="24"/>
      <c r="K146" s="24"/>
      <c r="L146" s="24"/>
      <c r="M146" s="222"/>
    </row>
    <row r="147" spans="2:13" x14ac:dyDescent="0.25">
      <c r="B147" s="8"/>
      <c r="C147" s="8"/>
      <c r="D147" s="24"/>
      <c r="E147" s="137"/>
      <c r="F147" s="24"/>
      <c r="G147" s="24"/>
      <c r="H147" s="24"/>
      <c r="I147" s="24"/>
      <c r="J147" s="24"/>
      <c r="K147" s="24"/>
      <c r="L147" s="24"/>
      <c r="M147" s="222"/>
    </row>
    <row r="148" spans="2:13" x14ac:dyDescent="0.25">
      <c r="B148" s="8"/>
      <c r="C148" s="8"/>
      <c r="D148" s="24"/>
      <c r="E148" s="137"/>
      <c r="F148" s="24"/>
      <c r="G148" s="24"/>
      <c r="H148" s="24"/>
      <c r="I148" s="24"/>
      <c r="J148" s="24"/>
      <c r="K148" s="24"/>
      <c r="L148" s="24"/>
      <c r="M148" s="222"/>
    </row>
    <row r="149" spans="2:13" x14ac:dyDescent="0.25">
      <c r="B149" s="8"/>
      <c r="C149" s="8"/>
      <c r="D149" s="24"/>
      <c r="E149" s="137"/>
      <c r="F149" s="24"/>
      <c r="G149" s="24"/>
      <c r="H149" s="154"/>
      <c r="I149" s="24"/>
      <c r="J149" s="24"/>
      <c r="K149" s="24"/>
      <c r="L149" s="24"/>
      <c r="M149" s="222"/>
    </row>
    <row r="150" spans="2:13" x14ac:dyDescent="0.25">
      <c r="B150" s="8"/>
      <c r="C150" s="8"/>
      <c r="D150" s="24"/>
      <c r="E150" s="137"/>
      <c r="F150" s="24"/>
      <c r="G150" s="24"/>
      <c r="H150" s="24"/>
      <c r="I150" s="24"/>
      <c r="J150" s="24"/>
      <c r="K150" s="24"/>
      <c r="L150" s="24"/>
      <c r="M150" s="222"/>
    </row>
    <row r="151" spans="2:13" x14ac:dyDescent="0.25">
      <c r="B151" s="8"/>
      <c r="C151" s="8"/>
      <c r="D151" s="24"/>
      <c r="E151" s="137"/>
      <c r="F151" s="24"/>
      <c r="G151" s="24"/>
      <c r="H151" s="24"/>
      <c r="I151" s="24"/>
      <c r="J151" s="24"/>
      <c r="K151" s="24"/>
      <c r="L151" s="24"/>
      <c r="M151" s="222"/>
    </row>
    <row r="152" spans="2:13" x14ac:dyDescent="0.25">
      <c r="B152" s="8"/>
      <c r="C152" s="8"/>
      <c r="D152" s="24"/>
      <c r="E152" s="137"/>
      <c r="F152" s="24"/>
      <c r="G152" s="24"/>
      <c r="H152" s="24"/>
      <c r="I152" s="24"/>
      <c r="J152" s="24"/>
      <c r="K152" s="24"/>
      <c r="L152" s="24"/>
      <c r="M152" s="222"/>
    </row>
    <row r="153" spans="2:13" x14ac:dyDescent="0.25">
      <c r="B153" s="8"/>
      <c r="C153" s="8"/>
      <c r="D153" s="24"/>
      <c r="E153" s="137"/>
      <c r="F153" s="24"/>
      <c r="G153" s="24"/>
      <c r="H153" s="24"/>
      <c r="I153" s="24"/>
      <c r="J153" s="24"/>
      <c r="K153" s="24"/>
      <c r="L153" s="24"/>
      <c r="M153" s="222"/>
    </row>
    <row r="154" spans="2:13" x14ac:dyDescent="0.25">
      <c r="B154" s="8"/>
      <c r="C154" s="8"/>
      <c r="D154" s="24"/>
      <c r="E154" s="137"/>
      <c r="F154" s="24"/>
      <c r="G154" s="24"/>
      <c r="H154" s="24"/>
      <c r="I154" s="24"/>
      <c r="J154" s="24"/>
      <c r="K154" s="24"/>
      <c r="L154" s="24"/>
      <c r="M154" s="222"/>
    </row>
    <row r="155" spans="2:13" x14ac:dyDescent="0.25">
      <c r="B155" s="8"/>
      <c r="C155" s="8"/>
      <c r="D155" s="24"/>
      <c r="E155" s="137"/>
      <c r="F155" s="24"/>
      <c r="G155" s="24"/>
      <c r="H155" s="24"/>
      <c r="I155" s="24"/>
      <c r="J155" s="24"/>
      <c r="K155" s="24"/>
      <c r="L155" s="24"/>
      <c r="M155" s="222"/>
    </row>
    <row r="156" spans="2:13" x14ac:dyDescent="0.25">
      <c r="B156" s="8"/>
      <c r="C156" s="8"/>
      <c r="D156" s="24"/>
      <c r="E156" s="137"/>
      <c r="F156" s="24"/>
      <c r="G156" s="24"/>
      <c r="H156" s="24"/>
      <c r="I156" s="24"/>
      <c r="J156" s="24"/>
      <c r="K156" s="24"/>
      <c r="L156" s="24"/>
      <c r="M156" s="222"/>
    </row>
    <row r="157" spans="2:13" x14ac:dyDescent="0.25">
      <c r="B157" s="8"/>
      <c r="C157" s="8"/>
      <c r="D157" s="24"/>
      <c r="E157" s="137"/>
      <c r="F157" s="24"/>
      <c r="G157" s="24"/>
      <c r="H157" s="24"/>
      <c r="I157" s="24"/>
      <c r="J157" s="24"/>
      <c r="K157" s="24"/>
      <c r="L157" s="24"/>
      <c r="M157" s="222"/>
    </row>
    <row r="158" spans="2:13" x14ac:dyDescent="0.25">
      <c r="B158" s="8"/>
      <c r="C158" s="8"/>
      <c r="D158" s="24"/>
      <c r="E158" s="137"/>
      <c r="F158" s="24"/>
      <c r="G158" s="24"/>
      <c r="H158" s="24"/>
      <c r="I158" s="24"/>
      <c r="J158" s="24"/>
      <c r="K158" s="24"/>
      <c r="L158" s="24"/>
      <c r="M158" s="24"/>
    </row>
    <row r="159" spans="2:13" x14ac:dyDescent="0.25">
      <c r="B159" s="8"/>
      <c r="C159" s="8"/>
      <c r="D159" s="24"/>
      <c r="E159" s="137"/>
      <c r="F159" s="24"/>
      <c r="G159" s="24"/>
      <c r="H159" s="24"/>
      <c r="I159" s="24"/>
      <c r="J159" s="24"/>
      <c r="K159" s="24"/>
      <c r="L159" s="24"/>
      <c r="M159" s="24"/>
    </row>
    <row r="160" spans="2:13" x14ac:dyDescent="0.25">
      <c r="B160" s="8"/>
      <c r="C160" s="8"/>
      <c r="D160" s="24"/>
      <c r="E160" s="137"/>
      <c r="F160" s="24"/>
      <c r="G160" s="24"/>
      <c r="H160" s="24"/>
      <c r="I160" s="24"/>
      <c r="J160" s="24"/>
      <c r="K160" s="24"/>
      <c r="L160" s="24"/>
      <c r="M160" s="24"/>
    </row>
    <row r="161" spans="2:13" x14ac:dyDescent="0.25">
      <c r="B161" s="8"/>
      <c r="C161" s="8"/>
      <c r="D161" s="24"/>
      <c r="E161" s="137"/>
      <c r="F161" s="24"/>
      <c r="G161" s="24"/>
      <c r="H161" s="24"/>
      <c r="I161" s="24"/>
      <c r="J161" s="24"/>
      <c r="K161" s="24"/>
      <c r="L161" s="24"/>
      <c r="M161" s="24"/>
    </row>
    <row r="162" spans="2:13" x14ac:dyDescent="0.25">
      <c r="B162" s="8"/>
      <c r="C162" s="8"/>
      <c r="D162" s="24"/>
      <c r="E162" s="137"/>
      <c r="F162" s="24"/>
      <c r="G162" s="24"/>
      <c r="H162" s="24"/>
      <c r="I162" s="24"/>
      <c r="J162" s="24"/>
      <c r="K162" s="24"/>
      <c r="L162" s="24"/>
      <c r="M162" s="24"/>
    </row>
    <row r="163" spans="2:13" x14ac:dyDescent="0.25">
      <c r="B163" s="8"/>
      <c r="C163" s="8"/>
      <c r="D163" s="24"/>
      <c r="E163" s="137"/>
      <c r="F163" s="24"/>
      <c r="G163" s="24"/>
      <c r="H163" s="24"/>
      <c r="I163" s="24"/>
      <c r="J163" s="24"/>
      <c r="K163" s="24"/>
      <c r="L163" s="24"/>
      <c r="M163" s="24"/>
    </row>
    <row r="164" spans="2:13" x14ac:dyDescent="0.25">
      <c r="B164" s="8"/>
      <c r="C164" s="8"/>
      <c r="D164" s="24"/>
      <c r="E164" s="137"/>
      <c r="F164" s="24"/>
      <c r="G164" s="24"/>
      <c r="H164" s="24"/>
      <c r="I164" s="24"/>
      <c r="J164" s="24"/>
      <c r="K164" s="24"/>
      <c r="L164" s="24"/>
      <c r="M164" s="24"/>
    </row>
    <row r="165" spans="2:13" x14ac:dyDescent="0.25">
      <c r="B165" s="8"/>
      <c r="C165" s="8"/>
      <c r="D165" s="24"/>
      <c r="E165" s="137"/>
      <c r="F165" s="24"/>
      <c r="G165" s="24"/>
      <c r="H165" s="24"/>
      <c r="I165" s="24"/>
      <c r="J165" s="24"/>
      <c r="K165" s="24"/>
      <c r="L165" s="24"/>
      <c r="M165" s="24"/>
    </row>
    <row r="166" spans="2:13" x14ac:dyDescent="0.25">
      <c r="B166" s="8"/>
      <c r="C166" s="8"/>
      <c r="D166" s="24"/>
      <c r="E166" s="137"/>
      <c r="F166" s="24"/>
      <c r="G166" s="24"/>
      <c r="H166" s="24"/>
      <c r="I166" s="24"/>
      <c r="J166" s="24"/>
      <c r="K166" s="24"/>
      <c r="L166" s="24"/>
      <c r="M166" s="24"/>
    </row>
    <row r="167" spans="2:13" x14ac:dyDescent="0.25">
      <c r="B167" s="8"/>
      <c r="C167" s="8"/>
      <c r="D167" s="24"/>
      <c r="E167" s="137"/>
      <c r="F167" s="24"/>
      <c r="G167" s="24"/>
      <c r="H167" s="154"/>
      <c r="I167" s="24"/>
      <c r="J167" s="24"/>
      <c r="K167" s="24"/>
      <c r="L167" s="24"/>
      <c r="M167" s="222"/>
    </row>
    <row r="168" spans="2:13" x14ac:dyDescent="0.25">
      <c r="B168" s="8"/>
      <c r="C168" s="8"/>
      <c r="D168" s="24"/>
      <c r="E168" s="137"/>
      <c r="F168" s="24"/>
      <c r="G168" s="24"/>
      <c r="H168" s="24"/>
      <c r="I168" s="24"/>
      <c r="J168" s="24"/>
      <c r="K168" s="24"/>
      <c r="L168" s="24"/>
      <c r="M168" s="222"/>
    </row>
    <row r="169" spans="2:13" x14ac:dyDescent="0.25">
      <c r="B169" s="8"/>
      <c r="C169" s="8"/>
      <c r="D169" s="24"/>
      <c r="E169" s="137"/>
      <c r="F169" s="24"/>
      <c r="G169" s="24"/>
      <c r="H169" s="24"/>
      <c r="I169" s="24"/>
      <c r="J169" s="24"/>
      <c r="K169" s="24"/>
      <c r="L169" s="24"/>
      <c r="M169" s="222"/>
    </row>
    <row r="170" spans="2:13" x14ac:dyDescent="0.25">
      <c r="B170" s="8"/>
      <c r="C170" s="8"/>
      <c r="D170" s="24"/>
      <c r="E170" s="137"/>
      <c r="F170" s="24"/>
      <c r="G170" s="24"/>
      <c r="H170" s="24"/>
      <c r="I170" s="24"/>
      <c r="J170" s="24"/>
      <c r="K170" s="24"/>
      <c r="L170" s="24"/>
      <c r="M170" s="222"/>
    </row>
    <row r="171" spans="2:13" x14ac:dyDescent="0.25">
      <c r="B171" s="8"/>
      <c r="C171" s="8"/>
      <c r="D171" s="24"/>
      <c r="E171" s="137"/>
      <c r="F171" s="24"/>
      <c r="G171" s="24"/>
      <c r="H171" s="24"/>
      <c r="I171" s="24"/>
      <c r="J171" s="24"/>
      <c r="K171" s="24"/>
      <c r="L171" s="24"/>
      <c r="M171" s="222"/>
    </row>
    <row r="172" spans="2:13" x14ac:dyDescent="0.25">
      <c r="B172" s="8"/>
      <c r="C172" s="8"/>
      <c r="D172" s="24"/>
      <c r="E172" s="137"/>
      <c r="F172" s="24"/>
      <c r="G172" s="24"/>
      <c r="H172" s="24"/>
      <c r="I172" s="24"/>
      <c r="J172" s="24"/>
      <c r="K172" s="24"/>
      <c r="L172" s="24"/>
      <c r="M172" s="222"/>
    </row>
    <row r="173" spans="2:13" x14ac:dyDescent="0.25">
      <c r="B173" s="8"/>
      <c r="C173" s="8"/>
      <c r="D173" s="24"/>
      <c r="E173" s="137"/>
      <c r="F173" s="24"/>
      <c r="G173" s="24"/>
      <c r="H173" s="24"/>
      <c r="I173" s="24"/>
      <c r="J173" s="24"/>
      <c r="K173" s="24"/>
      <c r="L173" s="24"/>
      <c r="M173" s="222"/>
    </row>
    <row r="174" spans="2:13" x14ac:dyDescent="0.25">
      <c r="B174" s="8"/>
      <c r="C174" s="8"/>
      <c r="D174" s="24"/>
      <c r="E174" s="137"/>
      <c r="F174" s="24"/>
      <c r="G174" s="24"/>
      <c r="H174" s="24"/>
      <c r="I174" s="24"/>
      <c r="J174" s="24"/>
      <c r="K174" s="24"/>
      <c r="L174" s="24"/>
      <c r="M174" s="222"/>
    </row>
    <row r="175" spans="2:13" x14ac:dyDescent="0.25">
      <c r="B175" s="8"/>
      <c r="C175" s="8"/>
      <c r="D175" s="24"/>
      <c r="E175" s="137"/>
      <c r="F175" s="24"/>
      <c r="G175" s="24"/>
      <c r="H175" s="24"/>
      <c r="I175" s="24"/>
      <c r="J175" s="24"/>
      <c r="K175" s="24"/>
      <c r="L175" s="24"/>
      <c r="M175" s="222"/>
    </row>
    <row r="176" spans="2:13" x14ac:dyDescent="0.25">
      <c r="B176" s="8"/>
      <c r="C176" s="8"/>
      <c r="D176" s="24"/>
      <c r="E176" s="137"/>
      <c r="F176" s="24"/>
      <c r="G176" s="24"/>
      <c r="H176" s="24"/>
      <c r="I176" s="24"/>
      <c r="J176" s="24"/>
      <c r="K176" s="24"/>
      <c r="L176" s="24"/>
      <c r="M176" s="222"/>
    </row>
    <row r="177" spans="2:13" x14ac:dyDescent="0.25">
      <c r="B177" s="8"/>
      <c r="C177" s="8"/>
      <c r="D177" s="24"/>
      <c r="E177" s="137"/>
      <c r="F177" s="24"/>
      <c r="G177" s="24"/>
      <c r="H177" s="24"/>
      <c r="I177" s="24"/>
      <c r="J177" s="24"/>
      <c r="K177" s="24"/>
      <c r="L177" s="24"/>
      <c r="M177" s="222"/>
    </row>
    <row r="178" spans="2:13" x14ac:dyDescent="0.25">
      <c r="B178" s="8"/>
      <c r="C178" s="8"/>
      <c r="D178" s="24"/>
      <c r="E178" s="137"/>
      <c r="F178" s="24"/>
      <c r="G178" s="24"/>
      <c r="H178" s="24"/>
      <c r="I178" s="24"/>
      <c r="J178" s="24"/>
      <c r="K178" s="24"/>
      <c r="L178" s="24"/>
      <c r="M178" s="222"/>
    </row>
    <row r="179" spans="2:13" x14ac:dyDescent="0.25">
      <c r="B179" s="8"/>
      <c r="C179" s="8"/>
      <c r="D179" s="24"/>
      <c r="E179" s="137"/>
      <c r="F179" s="24"/>
      <c r="G179" s="24"/>
      <c r="H179" s="24"/>
      <c r="I179" s="24"/>
      <c r="J179" s="24"/>
      <c r="K179" s="24"/>
      <c r="L179" s="24"/>
      <c r="M179" s="222"/>
    </row>
    <row r="180" spans="2:13" x14ac:dyDescent="0.25">
      <c r="B180" s="8"/>
      <c r="C180" s="8"/>
      <c r="D180" s="24"/>
      <c r="E180" s="137"/>
      <c r="F180" s="24"/>
      <c r="G180" s="24"/>
      <c r="H180" s="24"/>
      <c r="I180" s="24"/>
      <c r="J180" s="24"/>
      <c r="K180" s="24"/>
      <c r="L180" s="24"/>
      <c r="M180" s="24"/>
    </row>
    <row r="181" spans="2:13" x14ac:dyDescent="0.25">
      <c r="B181" s="8"/>
      <c r="C181" s="8"/>
      <c r="D181" s="24"/>
      <c r="E181" s="137"/>
      <c r="F181" s="24"/>
      <c r="G181" s="24"/>
      <c r="H181" s="24"/>
      <c r="I181" s="24"/>
      <c r="J181" s="24"/>
      <c r="K181" s="24"/>
      <c r="L181" s="24"/>
      <c r="M181" s="24"/>
    </row>
    <row r="182" spans="2:13" x14ac:dyDescent="0.25">
      <c r="B182" s="8"/>
      <c r="C182" s="8"/>
      <c r="D182" s="24"/>
      <c r="E182" s="137"/>
      <c r="F182" s="24"/>
      <c r="G182" s="24"/>
      <c r="H182" s="24"/>
      <c r="I182" s="24"/>
      <c r="J182" s="24"/>
      <c r="K182" s="24"/>
      <c r="L182" s="24"/>
      <c r="M182" s="222"/>
    </row>
    <row r="183" spans="2:13" x14ac:dyDescent="0.25">
      <c r="B183" s="8"/>
      <c r="C183" s="8"/>
      <c r="D183" s="24"/>
      <c r="E183" s="137"/>
      <c r="F183" s="24"/>
      <c r="G183" s="24"/>
      <c r="H183" s="24"/>
      <c r="I183" s="24"/>
      <c r="J183" s="24"/>
      <c r="K183" s="24"/>
      <c r="L183" s="24"/>
      <c r="M183" s="222"/>
    </row>
    <row r="184" spans="2:13" x14ac:dyDescent="0.25">
      <c r="B184" s="8"/>
      <c r="C184" s="8"/>
      <c r="D184" s="24"/>
      <c r="E184" s="137"/>
      <c r="F184" s="24"/>
      <c r="G184" s="24"/>
      <c r="H184" s="24"/>
      <c r="I184" s="24"/>
      <c r="J184" s="24"/>
      <c r="K184" s="24"/>
      <c r="L184" s="24"/>
      <c r="M184" s="222"/>
    </row>
    <row r="185" spans="2:13" x14ac:dyDescent="0.25">
      <c r="B185" s="8"/>
      <c r="C185" s="8"/>
      <c r="D185" s="24"/>
      <c r="E185" s="137"/>
      <c r="F185" s="24"/>
      <c r="G185" s="24"/>
      <c r="H185" s="154"/>
      <c r="I185" s="24"/>
      <c r="J185" s="24"/>
      <c r="K185" s="24"/>
      <c r="L185" s="24"/>
      <c r="M185" s="222"/>
    </row>
    <row r="186" spans="2:13" x14ac:dyDescent="0.25">
      <c r="B186" s="8"/>
      <c r="C186" s="8"/>
      <c r="D186" s="24"/>
      <c r="E186" s="137"/>
      <c r="F186" s="24"/>
      <c r="G186" s="24"/>
      <c r="H186" s="24"/>
      <c r="I186" s="24"/>
      <c r="J186" s="24"/>
      <c r="K186" s="24"/>
      <c r="L186" s="24"/>
      <c r="M186" s="222"/>
    </row>
    <row r="187" spans="2:13" x14ac:dyDescent="0.25">
      <c r="B187" s="8"/>
      <c r="C187" s="8"/>
      <c r="D187" s="24"/>
      <c r="E187" s="137"/>
      <c r="F187" s="24"/>
      <c r="G187" s="24"/>
      <c r="H187" s="24"/>
      <c r="I187" s="24"/>
      <c r="J187" s="24"/>
      <c r="K187" s="24"/>
      <c r="L187" s="24"/>
      <c r="M187" s="222"/>
    </row>
    <row r="188" spans="2:13" x14ac:dyDescent="0.25">
      <c r="B188" s="8"/>
      <c r="C188" s="8"/>
      <c r="D188" s="24"/>
      <c r="E188" s="137"/>
      <c r="F188" s="24"/>
      <c r="G188" s="24"/>
      <c r="H188" s="24"/>
      <c r="I188" s="24"/>
      <c r="J188" s="24"/>
      <c r="K188" s="24"/>
      <c r="L188" s="24"/>
      <c r="M188" s="222"/>
    </row>
    <row r="189" spans="2:13" x14ac:dyDescent="0.25">
      <c r="B189" s="8"/>
      <c r="C189" s="8"/>
      <c r="D189" s="24"/>
      <c r="E189" s="137"/>
      <c r="F189" s="24"/>
      <c r="G189" s="24"/>
      <c r="H189" s="24"/>
      <c r="I189" s="24"/>
      <c r="J189" s="24"/>
      <c r="K189" s="24"/>
      <c r="L189" s="24"/>
      <c r="M189" s="222"/>
    </row>
    <row r="190" spans="2:13" x14ac:dyDescent="0.25">
      <c r="B190" s="8"/>
      <c r="C190" s="8"/>
      <c r="D190" s="24"/>
      <c r="E190" s="137"/>
      <c r="F190" s="24"/>
      <c r="G190" s="24"/>
      <c r="H190" s="24"/>
      <c r="I190" s="24"/>
      <c r="J190" s="24"/>
      <c r="K190" s="24"/>
      <c r="L190" s="24"/>
      <c r="M190" s="222"/>
    </row>
    <row r="191" spans="2:13" x14ac:dyDescent="0.25">
      <c r="B191" s="8"/>
      <c r="C191" s="8"/>
      <c r="D191" s="24"/>
      <c r="E191" s="137"/>
      <c r="F191" s="24"/>
      <c r="G191" s="24"/>
      <c r="H191" s="24"/>
      <c r="I191" s="24"/>
      <c r="J191" s="24"/>
      <c r="K191" s="24"/>
      <c r="L191" s="24"/>
      <c r="M191" s="222"/>
    </row>
    <row r="192" spans="2:13" x14ac:dyDescent="0.25">
      <c r="B192" s="8"/>
      <c r="C192" s="8"/>
      <c r="D192" s="24"/>
      <c r="E192" s="137"/>
      <c r="F192" s="24"/>
      <c r="G192" s="24"/>
      <c r="H192" s="24"/>
      <c r="I192" s="24"/>
      <c r="J192" s="24"/>
      <c r="K192" s="24"/>
      <c r="L192" s="24"/>
      <c r="M192" s="222"/>
    </row>
    <row r="193" spans="2:13" x14ac:dyDescent="0.25">
      <c r="B193" s="8"/>
      <c r="C193" s="8"/>
      <c r="D193" s="24"/>
      <c r="E193" s="137"/>
      <c r="F193" s="24"/>
      <c r="G193" s="24"/>
      <c r="H193" s="24"/>
      <c r="I193" s="24"/>
      <c r="J193" s="24"/>
      <c r="K193" s="24"/>
      <c r="L193" s="24"/>
      <c r="M193" s="222"/>
    </row>
    <row r="194" spans="2:13" x14ac:dyDescent="0.25">
      <c r="B194" s="8"/>
      <c r="C194" s="8"/>
      <c r="D194" s="24"/>
      <c r="E194" s="137"/>
      <c r="F194" s="24"/>
      <c r="G194" s="24"/>
      <c r="H194" s="24"/>
      <c r="I194" s="24"/>
      <c r="J194" s="24"/>
      <c r="K194" s="24"/>
      <c r="L194" s="24"/>
      <c r="M194" s="24"/>
    </row>
    <row r="195" spans="2:13" x14ac:dyDescent="0.25">
      <c r="B195" s="8"/>
      <c r="C195" s="8"/>
      <c r="D195" s="24"/>
      <c r="E195" s="137"/>
      <c r="F195" s="24"/>
      <c r="G195" s="24"/>
      <c r="H195" s="24"/>
      <c r="I195" s="24"/>
      <c r="J195" s="24"/>
      <c r="K195" s="24"/>
      <c r="L195" s="24"/>
      <c r="M195" s="24"/>
    </row>
    <row r="196" spans="2:13" x14ac:dyDescent="0.25">
      <c r="B196" s="8"/>
      <c r="C196" s="8"/>
      <c r="D196" s="24"/>
      <c r="E196" s="137"/>
      <c r="F196" s="24"/>
      <c r="G196" s="24"/>
      <c r="H196" s="24"/>
      <c r="I196" s="24"/>
      <c r="J196" s="24"/>
      <c r="K196" s="24"/>
      <c r="L196" s="24"/>
      <c r="M196" s="24"/>
    </row>
    <row r="197" spans="2:13" x14ac:dyDescent="0.25">
      <c r="B197" s="8"/>
      <c r="C197" s="8"/>
      <c r="D197" s="24"/>
      <c r="E197" s="137"/>
      <c r="F197" s="24"/>
      <c r="G197" s="24"/>
      <c r="H197" s="24"/>
      <c r="I197" s="24"/>
      <c r="J197" s="24"/>
      <c r="K197" s="24"/>
      <c r="L197" s="24"/>
      <c r="M197" s="24"/>
    </row>
    <row r="198" spans="2:13" x14ac:dyDescent="0.25">
      <c r="B198" s="8"/>
      <c r="C198" s="8"/>
      <c r="D198" s="24"/>
      <c r="E198" s="137"/>
      <c r="F198" s="24"/>
      <c r="G198" s="24"/>
      <c r="H198" s="24"/>
      <c r="I198" s="24"/>
      <c r="J198" s="24"/>
      <c r="K198" s="24"/>
      <c r="L198" s="24"/>
      <c r="M198" s="24"/>
    </row>
    <row r="199" spans="2:13" x14ac:dyDescent="0.25">
      <c r="B199" s="8"/>
      <c r="C199" s="8"/>
      <c r="D199" s="24"/>
      <c r="E199" s="137"/>
      <c r="F199" s="24"/>
      <c r="G199" s="24"/>
      <c r="H199" s="24"/>
      <c r="I199" s="24"/>
      <c r="J199" s="24"/>
      <c r="K199" s="24"/>
      <c r="L199" s="24"/>
      <c r="M199" s="24"/>
    </row>
    <row r="200" spans="2:13" x14ac:dyDescent="0.25">
      <c r="B200" s="8"/>
      <c r="C200" s="8"/>
      <c r="D200" s="24"/>
      <c r="E200" s="137"/>
      <c r="F200" s="24"/>
      <c r="G200" s="24"/>
      <c r="H200" s="24"/>
      <c r="I200" s="24"/>
      <c r="J200" s="24"/>
      <c r="K200" s="24"/>
      <c r="L200" s="24"/>
      <c r="M200" s="24"/>
    </row>
    <row r="201" spans="2:13" x14ac:dyDescent="0.25">
      <c r="B201" s="8"/>
      <c r="C201" s="8"/>
      <c r="D201" s="24"/>
      <c r="E201" s="137"/>
      <c r="F201" s="24"/>
      <c r="G201" s="24"/>
      <c r="H201" s="24"/>
      <c r="I201" s="24"/>
      <c r="J201" s="24"/>
      <c r="K201" s="24"/>
      <c r="L201" s="24"/>
      <c r="M201" s="24"/>
    </row>
    <row r="202" spans="2:13" x14ac:dyDescent="0.25">
      <c r="B202" s="8"/>
      <c r="C202" s="8"/>
      <c r="D202" s="24"/>
      <c r="E202" s="137"/>
      <c r="F202" s="24"/>
      <c r="G202" s="24"/>
      <c r="H202" s="24"/>
      <c r="I202" s="24"/>
      <c r="J202" s="24"/>
      <c r="K202" s="24"/>
      <c r="L202" s="24"/>
      <c r="M20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1"/>
  <sheetViews>
    <sheetView showGridLines="0" topLeftCell="A49" workbookViewId="0">
      <selection activeCell="A104" sqref="A104"/>
    </sheetView>
  </sheetViews>
  <sheetFormatPr defaultRowHeight="11.5" x14ac:dyDescent="0.25"/>
  <cols>
    <col min="1" max="1" width="18.6328125" customWidth="1"/>
    <col min="4" max="4" width="12.453125" customWidth="1"/>
    <col min="5" max="5" width="13" customWidth="1"/>
  </cols>
  <sheetData>
    <row r="1" spans="1:13" ht="19.5" x14ac:dyDescent="0.35">
      <c r="A1" s="6" t="s">
        <v>451</v>
      </c>
    </row>
    <row r="2" spans="1:13" x14ac:dyDescent="0.25">
      <c r="A2" s="5" t="s">
        <v>449</v>
      </c>
      <c r="D2" s="23"/>
      <c r="E2" s="23"/>
      <c r="F2" s="23"/>
      <c r="G2" s="23"/>
      <c r="H2" s="23"/>
      <c r="I2" s="23"/>
      <c r="J2" s="23"/>
      <c r="K2" s="23"/>
      <c r="L2" s="23"/>
      <c r="M2" s="8"/>
    </row>
    <row r="3" spans="1:13" x14ac:dyDescent="0.25">
      <c r="A3" s="5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48" t="s">
        <v>128</v>
      </c>
      <c r="B4" s="65"/>
      <c r="C4" s="65"/>
      <c r="D4" s="157"/>
      <c r="E4" s="155" t="s">
        <v>130</v>
      </c>
      <c r="F4" s="33"/>
      <c r="G4" s="33"/>
      <c r="H4" s="33"/>
      <c r="I4" s="182"/>
    </row>
    <row r="5" spans="1:13" x14ac:dyDescent="0.25">
      <c r="A5" s="8"/>
      <c r="B5" s="8"/>
      <c r="C5" s="8"/>
      <c r="D5" s="158"/>
      <c r="E5" s="8"/>
      <c r="F5" s="8"/>
      <c r="G5" s="8"/>
      <c r="I5" s="160"/>
    </row>
    <row r="6" spans="1:13" x14ac:dyDescent="0.25">
      <c r="A6" t="s">
        <v>425</v>
      </c>
      <c r="B6" s="2"/>
      <c r="C6" s="2"/>
      <c r="D6" s="159"/>
      <c r="F6" s="8"/>
      <c r="H6" s="24"/>
      <c r="I6" s="183"/>
    </row>
    <row r="7" spans="1:13" x14ac:dyDescent="0.25">
      <c r="A7" s="8" t="s">
        <v>336</v>
      </c>
      <c r="B7" s="2"/>
      <c r="C7" s="2"/>
      <c r="D7" s="159"/>
      <c r="F7" s="8"/>
      <c r="G7" s="89"/>
      <c r="H7" s="89"/>
      <c r="I7" s="184"/>
    </row>
    <row r="8" spans="1:13" x14ac:dyDescent="0.25">
      <c r="B8" s="2"/>
      <c r="C8" s="2"/>
      <c r="D8" s="159"/>
      <c r="F8" s="8"/>
      <c r="G8" s="8"/>
      <c r="H8" s="8"/>
      <c r="I8" s="158"/>
    </row>
    <row r="9" spans="1:13" x14ac:dyDescent="0.25">
      <c r="A9" s="8" t="s">
        <v>335</v>
      </c>
      <c r="B9" s="88"/>
      <c r="C9" s="8"/>
      <c r="D9" s="158"/>
      <c r="F9" s="8"/>
      <c r="I9" s="158"/>
    </row>
    <row r="10" spans="1:13" x14ac:dyDescent="0.25">
      <c r="A10" s="147" t="s">
        <v>331</v>
      </c>
      <c r="B10" s="8"/>
      <c r="C10" s="8"/>
      <c r="D10" s="158"/>
      <c r="F10" s="8"/>
      <c r="G10" s="8"/>
      <c r="H10" s="8"/>
      <c r="I10" s="158"/>
    </row>
    <row r="11" spans="1:13" x14ac:dyDescent="0.25">
      <c r="A11" s="8"/>
      <c r="D11" s="160"/>
      <c r="F11" s="8"/>
      <c r="G11" s="89"/>
      <c r="H11" s="89"/>
      <c r="I11" s="184"/>
    </row>
    <row r="12" spans="1:13" x14ac:dyDescent="0.25">
      <c r="A12" s="84"/>
      <c r="B12" s="8"/>
      <c r="C12" s="8"/>
      <c r="D12" s="158"/>
      <c r="G12" s="85"/>
      <c r="H12" s="85"/>
      <c r="I12" s="185"/>
    </row>
    <row r="13" spans="1:13" x14ac:dyDescent="0.25">
      <c r="B13" s="8"/>
      <c r="C13" s="8"/>
      <c r="D13" s="158"/>
      <c r="G13" s="85"/>
      <c r="H13" s="85"/>
      <c r="I13" s="185"/>
    </row>
    <row r="14" spans="1:13" x14ac:dyDescent="0.25">
      <c r="B14" s="23"/>
      <c r="C14" s="23"/>
      <c r="D14" s="158"/>
      <c r="E14" s="85"/>
      <c r="F14" s="85"/>
      <c r="G14" s="8"/>
      <c r="H14" s="8"/>
      <c r="I14" s="185"/>
    </row>
    <row r="15" spans="1:13" x14ac:dyDescent="0.25">
      <c r="B15" s="8"/>
      <c r="C15" s="8"/>
      <c r="D15" s="158"/>
      <c r="E15" s="85"/>
      <c r="F15" s="85"/>
      <c r="G15" s="8"/>
      <c r="H15" s="8"/>
      <c r="I15" s="185"/>
    </row>
    <row r="16" spans="1:13" x14ac:dyDescent="0.25">
      <c r="B16" s="84"/>
      <c r="C16" s="84"/>
      <c r="D16" s="161"/>
      <c r="E16" s="8"/>
      <c r="F16" s="8"/>
      <c r="G16" s="8"/>
      <c r="H16" s="8"/>
      <c r="I16" s="185"/>
    </row>
    <row r="17" spans="1:13" x14ac:dyDescent="0.25">
      <c r="A17" s="8"/>
      <c r="B17" s="8"/>
      <c r="C17" s="8"/>
      <c r="D17" s="158"/>
      <c r="E17" s="8"/>
      <c r="F17" s="8"/>
      <c r="G17" s="8"/>
      <c r="H17" s="8"/>
      <c r="I17" s="158"/>
    </row>
    <row r="18" spans="1:13" x14ac:dyDescent="0.25">
      <c r="A18" s="59"/>
      <c r="B18" s="59"/>
      <c r="C18" s="59"/>
      <c r="D18" s="162"/>
      <c r="E18" s="156"/>
      <c r="F18" s="38"/>
      <c r="G18" s="38"/>
      <c r="H18" s="38"/>
      <c r="I18" s="186"/>
    </row>
    <row r="20" spans="1:13" ht="46" x14ac:dyDescent="0.25">
      <c r="A20" s="144" t="s">
        <v>421</v>
      </c>
      <c r="B20" s="9" t="s">
        <v>293</v>
      </c>
      <c r="C20" s="9" t="s">
        <v>332</v>
      </c>
      <c r="D20" s="9" t="s">
        <v>234</v>
      </c>
      <c r="E20" s="145" t="s">
        <v>234</v>
      </c>
      <c r="F20" s="83"/>
      <c r="G20" s="219"/>
      <c r="H20" s="83"/>
      <c r="I20" s="83"/>
      <c r="J20" s="83"/>
      <c r="K20" s="83"/>
      <c r="L20" s="8"/>
      <c r="M20" s="220"/>
    </row>
    <row r="21" spans="1:13" x14ac:dyDescent="0.25">
      <c r="B21" s="3"/>
      <c r="D21" s="2" t="s">
        <v>439</v>
      </c>
      <c r="E21" s="105" t="s">
        <v>250</v>
      </c>
      <c r="F21" s="24"/>
      <c r="G21" s="24"/>
      <c r="H21" s="24"/>
      <c r="I21" s="24"/>
      <c r="J21" s="24"/>
      <c r="K21" s="24"/>
      <c r="L21" s="8"/>
      <c r="M21" s="24"/>
    </row>
    <row r="22" spans="1:13" x14ac:dyDescent="0.25">
      <c r="A22" s="129" t="s">
        <v>253</v>
      </c>
      <c r="B22" s="130" t="s">
        <v>252</v>
      </c>
      <c r="C22" s="130" t="s">
        <v>87</v>
      </c>
      <c r="D22" s="131" t="s">
        <v>254</v>
      </c>
      <c r="E22" s="133" t="s">
        <v>235</v>
      </c>
      <c r="F22" s="97"/>
      <c r="G22" s="97"/>
      <c r="H22" s="97"/>
      <c r="I22" s="97"/>
      <c r="J22" s="97"/>
      <c r="K22" s="97"/>
      <c r="L22" s="8"/>
      <c r="M22" s="97"/>
    </row>
    <row r="23" spans="1:13" x14ac:dyDescent="0.25">
      <c r="A23" s="19">
        <v>2010</v>
      </c>
      <c r="B23" t="s">
        <v>271</v>
      </c>
      <c r="C23" s="1" t="s">
        <v>65</v>
      </c>
      <c r="D23" s="149">
        <f>E23/1000</f>
        <v>2.5</v>
      </c>
      <c r="E23" s="103">
        <v>2500</v>
      </c>
      <c r="F23" s="137"/>
      <c r="G23" s="24"/>
      <c r="H23" s="221"/>
      <c r="I23" s="24"/>
      <c r="J23" s="24"/>
      <c r="K23" s="24"/>
      <c r="L23" s="8"/>
      <c r="M23" s="222"/>
    </row>
    <row r="24" spans="1:13" x14ac:dyDescent="0.25">
      <c r="A24" s="19"/>
      <c r="C24" s="1" t="s">
        <v>66</v>
      </c>
      <c r="D24" s="149">
        <f>D23</f>
        <v>2.5</v>
      </c>
      <c r="E24" s="105">
        <v>2800</v>
      </c>
      <c r="F24" s="137"/>
      <c r="G24" s="24"/>
      <c r="H24" s="24"/>
      <c r="I24" s="24"/>
      <c r="J24" s="24"/>
      <c r="K24" s="24"/>
      <c r="L24" s="8"/>
      <c r="M24" s="222"/>
    </row>
    <row r="25" spans="1:13" x14ac:dyDescent="0.25">
      <c r="A25" s="19"/>
      <c r="C25" t="s">
        <v>67</v>
      </c>
      <c r="D25" s="149">
        <f t="shared" ref="D25:D30" si="0">D24</f>
        <v>2.5</v>
      </c>
      <c r="E25" s="103">
        <v>2500</v>
      </c>
      <c r="F25" s="137"/>
      <c r="G25" s="24"/>
      <c r="H25" s="24"/>
      <c r="I25" s="24"/>
      <c r="J25" s="24"/>
      <c r="K25" s="24"/>
      <c r="L25" s="8"/>
      <c r="M25" s="222"/>
    </row>
    <row r="26" spans="1:13" x14ac:dyDescent="0.25">
      <c r="A26" s="19"/>
      <c r="C26" t="s">
        <v>59</v>
      </c>
      <c r="D26" s="149">
        <f t="shared" si="0"/>
        <v>2.5</v>
      </c>
      <c r="E26" s="105">
        <v>2300</v>
      </c>
      <c r="F26" s="137"/>
      <c r="G26" s="24"/>
      <c r="H26" s="24"/>
      <c r="I26" s="24"/>
      <c r="J26" s="24"/>
      <c r="K26" s="24"/>
      <c r="L26" s="8"/>
      <c r="M26" s="222"/>
    </row>
    <row r="27" spans="1:13" x14ac:dyDescent="0.25">
      <c r="A27" s="19"/>
      <c r="C27" t="s">
        <v>68</v>
      </c>
      <c r="D27" s="149">
        <f t="shared" si="0"/>
        <v>2.5</v>
      </c>
      <c r="E27" s="105">
        <v>2200</v>
      </c>
      <c r="F27" s="137"/>
      <c r="G27" s="24"/>
      <c r="H27" s="24"/>
      <c r="I27" s="24"/>
      <c r="J27" s="24"/>
      <c r="K27" s="24"/>
      <c r="L27" s="8"/>
      <c r="M27" s="222"/>
    </row>
    <row r="28" spans="1:13" x14ac:dyDescent="0.25">
      <c r="A28" s="19"/>
      <c r="C28" t="s">
        <v>69</v>
      </c>
      <c r="D28" s="149">
        <f t="shared" si="0"/>
        <v>2.5</v>
      </c>
      <c r="E28" s="105">
        <v>3000</v>
      </c>
      <c r="F28" s="137"/>
      <c r="G28" s="24"/>
      <c r="H28" s="24"/>
      <c r="I28" s="24"/>
      <c r="J28" s="24"/>
      <c r="K28" s="24"/>
      <c r="L28" s="8"/>
      <c r="M28" s="222"/>
    </row>
    <row r="29" spans="1:13" x14ac:dyDescent="0.25">
      <c r="A29" s="19"/>
      <c r="C29" t="s">
        <v>86</v>
      </c>
      <c r="D29" s="149">
        <f t="shared" si="0"/>
        <v>2.5</v>
      </c>
      <c r="E29" s="105">
        <v>2700</v>
      </c>
      <c r="F29" s="137"/>
      <c r="G29" s="24"/>
      <c r="H29" s="24"/>
      <c r="I29" s="24"/>
      <c r="J29" s="24"/>
      <c r="K29" s="24"/>
      <c r="L29" s="8"/>
      <c r="M29" s="222"/>
    </row>
    <row r="30" spans="1:13" x14ac:dyDescent="0.25">
      <c r="A30" s="19"/>
      <c r="C30" t="s">
        <v>70</v>
      </c>
      <c r="D30" s="149">
        <f t="shared" si="0"/>
        <v>2.5</v>
      </c>
      <c r="E30" s="105">
        <v>2500</v>
      </c>
      <c r="F30" s="137"/>
      <c r="G30" s="24"/>
      <c r="H30" s="24"/>
      <c r="I30" s="24"/>
      <c r="J30" s="24"/>
      <c r="K30" s="24"/>
      <c r="L30" s="8"/>
      <c r="M30" s="222"/>
    </row>
    <row r="31" spans="1:13" x14ac:dyDescent="0.25">
      <c r="A31" s="18"/>
      <c r="B31" s="77"/>
      <c r="C31" s="77" t="s">
        <v>77</v>
      </c>
      <c r="D31" s="150">
        <f>D30</f>
        <v>2.5</v>
      </c>
      <c r="E31" s="107">
        <v>2800</v>
      </c>
      <c r="F31" s="137"/>
      <c r="G31" s="24"/>
      <c r="H31" s="24"/>
      <c r="I31" s="24"/>
      <c r="J31" s="24"/>
      <c r="K31" s="24"/>
      <c r="L31" s="8"/>
      <c r="M31" s="222"/>
    </row>
    <row r="32" spans="1:13" x14ac:dyDescent="0.25">
      <c r="A32" s="18"/>
      <c r="B32" s="8" t="s">
        <v>296</v>
      </c>
      <c r="C32" s="1" t="s">
        <v>65</v>
      </c>
      <c r="D32" s="149">
        <f>E32/1000</f>
        <v>1.2</v>
      </c>
      <c r="E32" s="109">
        <v>1200</v>
      </c>
      <c r="F32" s="137"/>
      <c r="G32" s="24"/>
      <c r="H32" s="24"/>
      <c r="I32" s="24"/>
      <c r="J32" s="24"/>
      <c r="K32" s="24"/>
      <c r="L32" s="8"/>
      <c r="M32" s="222"/>
    </row>
    <row r="33" spans="1:13" x14ac:dyDescent="0.25">
      <c r="A33" s="18"/>
      <c r="B33" s="8"/>
      <c r="C33" s="1" t="s">
        <v>66</v>
      </c>
      <c r="D33" s="149">
        <f>D32</f>
        <v>1.2</v>
      </c>
      <c r="E33" s="109">
        <v>1000</v>
      </c>
      <c r="F33" s="137"/>
      <c r="G33" s="24"/>
      <c r="H33" s="24"/>
      <c r="I33" s="24"/>
      <c r="J33" s="24"/>
      <c r="K33" s="24"/>
      <c r="L33" s="8"/>
      <c r="M33" s="222"/>
    </row>
    <row r="34" spans="1:13" x14ac:dyDescent="0.25">
      <c r="A34" s="18"/>
      <c r="B34" s="8"/>
      <c r="C34" t="s">
        <v>67</v>
      </c>
      <c r="D34" s="149">
        <f t="shared" ref="D34:D40" si="1">D33</f>
        <v>1.2</v>
      </c>
      <c r="E34" s="109">
        <v>1000</v>
      </c>
      <c r="F34" s="137"/>
      <c r="G34" s="24"/>
      <c r="H34" s="24"/>
      <c r="I34" s="24"/>
      <c r="J34" s="24"/>
      <c r="K34" s="24"/>
      <c r="L34" s="8"/>
      <c r="M34" s="222"/>
    </row>
    <row r="35" spans="1:13" x14ac:dyDescent="0.25">
      <c r="A35" s="18"/>
      <c r="B35" s="8"/>
      <c r="C35" t="s">
        <v>59</v>
      </c>
      <c r="D35" s="149">
        <f t="shared" si="1"/>
        <v>1.2</v>
      </c>
      <c r="E35" s="109">
        <v>1000</v>
      </c>
      <c r="F35" s="137"/>
      <c r="G35" s="24"/>
      <c r="H35" s="24"/>
      <c r="I35" s="24"/>
      <c r="J35" s="24"/>
      <c r="K35" s="24"/>
      <c r="L35" s="8"/>
      <c r="M35" s="222"/>
    </row>
    <row r="36" spans="1:13" x14ac:dyDescent="0.25">
      <c r="A36" s="18"/>
      <c r="B36" s="8"/>
      <c r="C36" t="s">
        <v>68</v>
      </c>
      <c r="D36" s="149">
        <f t="shared" si="1"/>
        <v>1.2</v>
      </c>
      <c r="E36" s="110">
        <v>1000</v>
      </c>
      <c r="F36" s="137"/>
      <c r="G36" s="24"/>
      <c r="H36" s="24"/>
      <c r="I36" s="24"/>
      <c r="J36" s="24"/>
      <c r="K36" s="24"/>
      <c r="L36" s="8"/>
      <c r="M36" s="24"/>
    </row>
    <row r="37" spans="1:13" x14ac:dyDescent="0.25">
      <c r="A37" s="18"/>
      <c r="B37" s="8"/>
      <c r="C37" t="s">
        <v>69</v>
      </c>
      <c r="D37" s="149">
        <f t="shared" si="1"/>
        <v>1.2</v>
      </c>
      <c r="E37" s="110">
        <v>1200</v>
      </c>
      <c r="F37" s="137"/>
      <c r="G37" s="24"/>
      <c r="H37" s="24"/>
      <c r="I37" s="24"/>
      <c r="J37" s="24"/>
      <c r="K37" s="24"/>
      <c r="L37" s="8"/>
      <c r="M37" s="24"/>
    </row>
    <row r="38" spans="1:13" x14ac:dyDescent="0.25">
      <c r="A38" s="18"/>
      <c r="B38" s="8"/>
      <c r="C38" t="s">
        <v>86</v>
      </c>
      <c r="D38" s="149">
        <f t="shared" si="1"/>
        <v>1.2</v>
      </c>
      <c r="E38" s="109">
        <v>1000</v>
      </c>
      <c r="F38" s="137"/>
      <c r="G38" s="24"/>
      <c r="H38" s="24"/>
      <c r="I38" s="24"/>
      <c r="J38" s="24"/>
      <c r="K38" s="24"/>
      <c r="L38" s="8"/>
      <c r="M38" s="222"/>
    </row>
    <row r="39" spans="1:13" x14ac:dyDescent="0.25">
      <c r="A39" s="18"/>
      <c r="B39" s="8"/>
      <c r="C39" t="s">
        <v>70</v>
      </c>
      <c r="D39" s="149">
        <f t="shared" si="1"/>
        <v>1.2</v>
      </c>
      <c r="E39" s="109">
        <v>1000</v>
      </c>
      <c r="F39" s="137"/>
      <c r="G39" s="24"/>
      <c r="H39" s="24"/>
      <c r="I39" s="24"/>
      <c r="J39" s="24"/>
      <c r="K39" s="24"/>
      <c r="L39" s="8"/>
      <c r="M39" s="222"/>
    </row>
    <row r="40" spans="1:13" x14ac:dyDescent="0.25">
      <c r="A40" s="18"/>
      <c r="B40" s="59"/>
      <c r="C40" s="77" t="s">
        <v>77</v>
      </c>
      <c r="D40" s="150">
        <f t="shared" si="1"/>
        <v>1.2</v>
      </c>
      <c r="E40" s="112">
        <v>1000</v>
      </c>
      <c r="F40" s="137"/>
      <c r="G40" s="24"/>
      <c r="H40" s="24"/>
      <c r="I40" s="24"/>
      <c r="J40" s="24"/>
      <c r="K40" s="24"/>
      <c r="L40" s="8"/>
      <c r="M40" s="222"/>
    </row>
    <row r="41" spans="1:13" x14ac:dyDescent="0.25">
      <c r="A41" s="18"/>
      <c r="B41" s="8" t="s">
        <v>308</v>
      </c>
      <c r="C41" s="1" t="s">
        <v>65</v>
      </c>
      <c r="D41" s="149">
        <f>E41/1000</f>
        <v>2</v>
      </c>
      <c r="E41" s="109">
        <v>2000</v>
      </c>
      <c r="F41" s="137"/>
      <c r="G41" s="24"/>
      <c r="H41" s="154"/>
      <c r="I41" s="24"/>
      <c r="J41" s="24"/>
      <c r="K41" s="24"/>
      <c r="L41" s="8"/>
      <c r="M41" s="222"/>
    </row>
    <row r="42" spans="1:13" x14ac:dyDescent="0.25">
      <c r="A42" s="18"/>
      <c r="B42" s="8"/>
      <c r="C42" s="1" t="s">
        <v>66</v>
      </c>
      <c r="D42" s="149">
        <f>D41</f>
        <v>2</v>
      </c>
      <c r="E42" s="109">
        <v>2000</v>
      </c>
      <c r="F42" s="137"/>
      <c r="G42" s="24"/>
      <c r="H42" s="24"/>
      <c r="I42" s="24"/>
      <c r="J42" s="24"/>
      <c r="K42" s="24"/>
      <c r="L42" s="8"/>
      <c r="M42" s="222"/>
    </row>
    <row r="43" spans="1:13" x14ac:dyDescent="0.25">
      <c r="A43" s="18"/>
      <c r="B43" s="8"/>
      <c r="C43" t="s">
        <v>67</v>
      </c>
      <c r="D43" s="149">
        <f t="shared" ref="D43:D47" si="2">D42</f>
        <v>2</v>
      </c>
      <c r="E43" s="109">
        <v>2000</v>
      </c>
      <c r="F43" s="137"/>
      <c r="G43" s="24"/>
      <c r="H43" s="24"/>
      <c r="I43" s="24"/>
      <c r="J43" s="24"/>
      <c r="K43" s="24"/>
      <c r="L43" s="8"/>
      <c r="M43" s="222"/>
    </row>
    <row r="44" spans="1:13" x14ac:dyDescent="0.25">
      <c r="A44" s="18"/>
      <c r="B44" s="8"/>
      <c r="C44" t="s">
        <v>59</v>
      </c>
      <c r="D44" s="149">
        <f t="shared" si="2"/>
        <v>2</v>
      </c>
      <c r="E44" s="109">
        <v>2000</v>
      </c>
      <c r="F44" s="137"/>
      <c r="G44" s="24"/>
      <c r="H44" s="24"/>
      <c r="I44" s="24"/>
      <c r="J44" s="24"/>
      <c r="K44" s="24"/>
      <c r="L44" s="8"/>
      <c r="M44" s="222"/>
    </row>
    <row r="45" spans="1:13" x14ac:dyDescent="0.25">
      <c r="A45" s="18"/>
      <c r="B45" s="8"/>
      <c r="C45" t="s">
        <v>68</v>
      </c>
      <c r="D45" s="149">
        <f t="shared" si="2"/>
        <v>2</v>
      </c>
      <c r="E45" s="109">
        <v>2000</v>
      </c>
      <c r="F45" s="137"/>
      <c r="G45" s="24"/>
      <c r="H45" s="24"/>
      <c r="I45" s="24"/>
      <c r="J45" s="24"/>
      <c r="K45" s="24"/>
      <c r="L45" s="8"/>
      <c r="M45" s="222"/>
    </row>
    <row r="46" spans="1:13" x14ac:dyDescent="0.25">
      <c r="A46" s="18"/>
      <c r="B46" s="8"/>
      <c r="C46" t="s">
        <v>69</v>
      </c>
      <c r="D46" s="149">
        <f t="shared" si="2"/>
        <v>2</v>
      </c>
      <c r="E46" s="109">
        <v>2000</v>
      </c>
      <c r="F46" s="137"/>
      <c r="G46" s="24"/>
      <c r="H46" s="24"/>
      <c r="I46" s="24"/>
      <c r="J46" s="24"/>
      <c r="K46" s="24"/>
      <c r="L46" s="8"/>
      <c r="M46" s="222"/>
    </row>
    <row r="47" spans="1:13" x14ac:dyDescent="0.25">
      <c r="A47" s="18"/>
      <c r="B47" s="8"/>
      <c r="C47" t="s">
        <v>86</v>
      </c>
      <c r="D47" s="149">
        <f t="shared" si="2"/>
        <v>2</v>
      </c>
      <c r="E47" s="109">
        <v>2000</v>
      </c>
      <c r="F47" s="137"/>
      <c r="G47" s="24"/>
      <c r="H47" s="24"/>
      <c r="I47" s="24"/>
      <c r="J47" s="24"/>
      <c r="K47" s="24"/>
      <c r="L47" s="8"/>
      <c r="M47" s="222"/>
    </row>
    <row r="48" spans="1:13" x14ac:dyDescent="0.25">
      <c r="A48" s="18"/>
      <c r="B48" s="8"/>
      <c r="C48" t="s">
        <v>70</v>
      </c>
      <c r="D48" s="149">
        <f>D47</f>
        <v>2</v>
      </c>
      <c r="E48" s="109">
        <v>2000</v>
      </c>
      <c r="F48" s="137"/>
      <c r="G48" s="24"/>
      <c r="H48" s="24"/>
      <c r="I48" s="24"/>
      <c r="J48" s="24"/>
      <c r="K48" s="24"/>
      <c r="L48" s="8"/>
      <c r="M48" s="222"/>
    </row>
    <row r="49" spans="1:13" x14ac:dyDescent="0.25">
      <c r="A49" s="18"/>
      <c r="B49" s="59"/>
      <c r="C49" s="77" t="s">
        <v>77</v>
      </c>
      <c r="D49" s="150">
        <f>D48</f>
        <v>2</v>
      </c>
      <c r="E49" s="112">
        <v>2000</v>
      </c>
      <c r="F49" s="137"/>
      <c r="G49" s="24"/>
      <c r="H49" s="24"/>
      <c r="I49" s="24"/>
      <c r="J49" s="24"/>
      <c r="K49" s="24"/>
      <c r="L49" s="8"/>
      <c r="M49" s="222"/>
    </row>
    <row r="50" spans="1:13" x14ac:dyDescent="0.25">
      <c r="A50" s="18"/>
      <c r="B50" s="8" t="s">
        <v>507</v>
      </c>
      <c r="C50" s="1" t="s">
        <v>65</v>
      </c>
      <c r="D50" s="149">
        <f>E50/1000</f>
        <v>2.4</v>
      </c>
      <c r="E50" s="109">
        <v>2400</v>
      </c>
      <c r="F50" s="137"/>
      <c r="G50" s="24"/>
      <c r="H50" s="24"/>
      <c r="I50" s="24"/>
      <c r="J50" s="24"/>
      <c r="K50" s="24"/>
      <c r="L50" s="8"/>
      <c r="M50" s="222"/>
    </row>
    <row r="51" spans="1:13" x14ac:dyDescent="0.25">
      <c r="A51" s="18"/>
      <c r="B51" s="8"/>
      <c r="C51" s="1" t="s">
        <v>66</v>
      </c>
      <c r="D51" s="149">
        <f>D50</f>
        <v>2.4</v>
      </c>
      <c r="E51" s="109">
        <v>2400</v>
      </c>
      <c r="F51" s="137"/>
      <c r="G51" s="24"/>
      <c r="H51" s="24"/>
      <c r="I51" s="24"/>
      <c r="J51" s="24"/>
      <c r="K51" s="24"/>
      <c r="L51" s="8"/>
      <c r="M51" s="222"/>
    </row>
    <row r="52" spans="1:13" x14ac:dyDescent="0.25">
      <c r="A52" s="18"/>
      <c r="B52" s="8"/>
      <c r="C52" t="s">
        <v>67</v>
      </c>
      <c r="D52" s="149">
        <f t="shared" ref="D52:D56" si="3">D51</f>
        <v>2.4</v>
      </c>
      <c r="E52" s="109">
        <v>2400</v>
      </c>
      <c r="F52" s="137"/>
      <c r="G52" s="24"/>
      <c r="H52" s="24"/>
      <c r="I52" s="24"/>
      <c r="J52" s="24"/>
      <c r="K52" s="24"/>
      <c r="L52" s="8"/>
      <c r="M52" s="222"/>
    </row>
    <row r="53" spans="1:13" x14ac:dyDescent="0.25">
      <c r="A53" s="18"/>
      <c r="B53" s="8"/>
      <c r="C53" t="s">
        <v>59</v>
      </c>
      <c r="D53" s="149">
        <f t="shared" si="3"/>
        <v>2.4</v>
      </c>
      <c r="E53" s="109">
        <v>2400</v>
      </c>
      <c r="F53" s="137"/>
      <c r="G53" s="24"/>
      <c r="H53" s="24"/>
      <c r="I53" s="24"/>
      <c r="J53" s="24"/>
      <c r="K53" s="24"/>
      <c r="L53" s="8"/>
      <c r="M53" s="222"/>
    </row>
    <row r="54" spans="1:13" x14ac:dyDescent="0.25">
      <c r="A54" s="18"/>
      <c r="B54" s="8"/>
      <c r="C54" t="s">
        <v>68</v>
      </c>
      <c r="D54" s="149">
        <f t="shared" si="3"/>
        <v>2.4</v>
      </c>
      <c r="E54" s="109">
        <v>2400</v>
      </c>
      <c r="F54" s="137"/>
      <c r="G54" s="24"/>
      <c r="H54" s="24"/>
      <c r="I54" s="24"/>
      <c r="J54" s="24"/>
      <c r="K54" s="24"/>
      <c r="L54" s="8"/>
      <c r="M54" s="222"/>
    </row>
    <row r="55" spans="1:13" x14ac:dyDescent="0.25">
      <c r="A55" s="18"/>
      <c r="B55" s="8"/>
      <c r="C55" t="s">
        <v>69</v>
      </c>
      <c r="D55" s="149">
        <f t="shared" si="3"/>
        <v>2.4</v>
      </c>
      <c r="E55" s="109">
        <v>2400</v>
      </c>
      <c r="F55" s="137"/>
      <c r="G55" s="24"/>
      <c r="H55" s="24"/>
      <c r="I55" s="24"/>
      <c r="J55" s="24"/>
      <c r="K55" s="24"/>
      <c r="L55" s="8"/>
      <c r="M55" s="222"/>
    </row>
    <row r="56" spans="1:13" x14ac:dyDescent="0.25">
      <c r="A56" s="18"/>
      <c r="B56" s="8"/>
      <c r="C56" t="s">
        <v>86</v>
      </c>
      <c r="D56" s="149">
        <f t="shared" si="3"/>
        <v>2.4</v>
      </c>
      <c r="E56" s="109">
        <v>2400</v>
      </c>
      <c r="F56" s="137"/>
      <c r="G56" s="24"/>
      <c r="H56" s="24"/>
      <c r="I56" s="24"/>
      <c r="J56" s="24"/>
      <c r="K56" s="24"/>
      <c r="L56" s="8"/>
      <c r="M56" s="222"/>
    </row>
    <row r="57" spans="1:13" x14ac:dyDescent="0.25">
      <c r="A57" s="18"/>
      <c r="B57" s="8"/>
      <c r="C57" t="s">
        <v>70</v>
      </c>
      <c r="D57" s="149">
        <f>D56</f>
        <v>2.4</v>
      </c>
      <c r="E57" s="109">
        <v>2400</v>
      </c>
      <c r="F57" s="137"/>
      <c r="G57" s="24"/>
      <c r="H57" s="24"/>
      <c r="I57" s="24"/>
      <c r="J57" s="24"/>
      <c r="K57" s="24"/>
      <c r="L57" s="8"/>
      <c r="M57" s="222"/>
    </row>
    <row r="58" spans="1:13" x14ac:dyDescent="0.25">
      <c r="A58" s="18"/>
      <c r="B58" s="59"/>
      <c r="C58" s="77" t="s">
        <v>77</v>
      </c>
      <c r="D58" s="150">
        <f>D57</f>
        <v>2.4</v>
      </c>
      <c r="E58" s="109">
        <v>2400</v>
      </c>
      <c r="F58" s="137"/>
      <c r="G58" s="24"/>
      <c r="H58" s="24"/>
      <c r="I58" s="24"/>
      <c r="J58" s="24"/>
      <c r="K58" s="24"/>
      <c r="L58" s="8"/>
      <c r="M58" s="222"/>
    </row>
    <row r="59" spans="1:13" x14ac:dyDescent="0.25">
      <c r="A59" s="18"/>
      <c r="B59" s="8" t="s">
        <v>266</v>
      </c>
      <c r="C59" s="1" t="s">
        <v>65</v>
      </c>
      <c r="D59" s="151">
        <v>0</v>
      </c>
      <c r="E59" s="110">
        <v>0</v>
      </c>
      <c r="F59" s="137"/>
      <c r="G59" s="24"/>
      <c r="H59" s="24"/>
      <c r="I59" s="24"/>
      <c r="J59" s="24"/>
      <c r="K59" s="24"/>
      <c r="L59" s="8"/>
      <c r="M59" s="24"/>
    </row>
    <row r="60" spans="1:13" x14ac:dyDescent="0.25">
      <c r="A60" s="18"/>
      <c r="B60" s="8"/>
      <c r="C60" s="1" t="s">
        <v>66</v>
      </c>
      <c r="D60" s="151">
        <v>0</v>
      </c>
      <c r="E60" s="110">
        <v>0</v>
      </c>
      <c r="F60" s="137"/>
      <c r="G60" s="24"/>
      <c r="H60" s="24"/>
      <c r="I60" s="24"/>
      <c r="J60" s="24"/>
      <c r="K60" s="24"/>
      <c r="L60" s="8"/>
      <c r="M60" s="24"/>
    </row>
    <row r="61" spans="1:13" x14ac:dyDescent="0.25">
      <c r="A61" s="18"/>
      <c r="B61" s="8"/>
      <c r="C61" t="s">
        <v>67</v>
      </c>
      <c r="D61" s="151">
        <v>0</v>
      </c>
      <c r="E61" s="110">
        <v>0</v>
      </c>
      <c r="F61" s="137"/>
      <c r="G61" s="24"/>
      <c r="H61" s="24"/>
      <c r="I61" s="24"/>
      <c r="J61" s="24"/>
      <c r="K61" s="24"/>
      <c r="L61" s="8"/>
      <c r="M61" s="24"/>
    </row>
    <row r="62" spans="1:13" x14ac:dyDescent="0.25">
      <c r="A62" s="18"/>
      <c r="B62" s="8"/>
      <c r="C62" t="s">
        <v>59</v>
      </c>
      <c r="D62" s="151">
        <v>0</v>
      </c>
      <c r="E62" s="110">
        <v>0</v>
      </c>
      <c r="F62" s="137"/>
      <c r="G62" s="24"/>
      <c r="H62" s="24"/>
      <c r="I62" s="24"/>
      <c r="J62" s="24"/>
      <c r="K62" s="24"/>
      <c r="L62" s="8"/>
      <c r="M62" s="24"/>
    </row>
    <row r="63" spans="1:13" x14ac:dyDescent="0.25">
      <c r="A63" s="18"/>
      <c r="B63" s="8"/>
      <c r="C63" t="s">
        <v>68</v>
      </c>
      <c r="D63" s="151">
        <v>0</v>
      </c>
      <c r="E63" s="110">
        <v>0</v>
      </c>
      <c r="F63" s="137"/>
      <c r="G63" s="24"/>
      <c r="H63" s="24"/>
      <c r="I63" s="24"/>
      <c r="J63" s="24"/>
      <c r="K63" s="24"/>
      <c r="L63" s="8"/>
      <c r="M63" s="24"/>
    </row>
    <row r="64" spans="1:13" x14ac:dyDescent="0.25">
      <c r="A64" s="18"/>
      <c r="B64" s="8"/>
      <c r="C64" t="s">
        <v>69</v>
      </c>
      <c r="D64" s="151">
        <v>0</v>
      </c>
      <c r="E64" s="110">
        <v>0</v>
      </c>
      <c r="F64" s="137"/>
      <c r="G64" s="24"/>
      <c r="H64" s="24"/>
      <c r="I64" s="24"/>
      <c r="J64" s="24"/>
      <c r="K64" s="24"/>
      <c r="L64" s="8"/>
      <c r="M64" s="24"/>
    </row>
    <row r="65" spans="1:13" x14ac:dyDescent="0.25">
      <c r="A65" s="18"/>
      <c r="B65" s="8"/>
      <c r="C65" t="s">
        <v>86</v>
      </c>
      <c r="D65" s="151">
        <v>0</v>
      </c>
      <c r="E65" s="110">
        <v>0</v>
      </c>
      <c r="F65" s="137"/>
      <c r="G65" s="24"/>
      <c r="H65" s="24"/>
      <c r="I65" s="24"/>
      <c r="J65" s="24"/>
      <c r="K65" s="24"/>
      <c r="L65" s="8"/>
      <c r="M65" s="24"/>
    </row>
    <row r="66" spans="1:13" x14ac:dyDescent="0.25">
      <c r="A66" s="18"/>
      <c r="B66" s="8"/>
      <c r="C66" t="s">
        <v>70</v>
      </c>
      <c r="D66" s="151">
        <v>0</v>
      </c>
      <c r="E66" s="110">
        <v>0</v>
      </c>
      <c r="F66" s="137"/>
      <c r="G66" s="24"/>
      <c r="H66" s="24"/>
      <c r="I66" s="24"/>
      <c r="J66" s="24"/>
      <c r="K66" s="24"/>
      <c r="L66" s="8"/>
      <c r="M66" s="24"/>
    </row>
    <row r="67" spans="1:13" ht="12" thickBot="1" x14ac:dyDescent="0.3">
      <c r="A67" s="119"/>
      <c r="B67" s="48"/>
      <c r="C67" s="47" t="s">
        <v>77</v>
      </c>
      <c r="D67" s="152">
        <v>0</v>
      </c>
      <c r="E67" s="120">
        <v>0</v>
      </c>
      <c r="F67" s="137"/>
      <c r="G67" s="24"/>
      <c r="H67" s="24"/>
      <c r="I67" s="24"/>
      <c r="J67" s="24"/>
      <c r="K67" s="24"/>
      <c r="L67" s="8"/>
      <c r="M67" s="24"/>
    </row>
    <row r="68" spans="1:13" x14ac:dyDescent="0.25">
      <c r="A68" s="118" t="s">
        <v>522</v>
      </c>
      <c r="B68" s="8" t="s">
        <v>308</v>
      </c>
      <c r="C68" s="1" t="s">
        <v>65</v>
      </c>
      <c r="D68" s="149">
        <f>E68/1000</f>
        <v>1</v>
      </c>
      <c r="E68" s="109">
        <v>1000</v>
      </c>
      <c r="F68" s="137"/>
      <c r="G68" s="24"/>
      <c r="H68" s="154"/>
      <c r="I68" s="24"/>
      <c r="J68" s="24"/>
      <c r="K68" s="24"/>
      <c r="L68" s="8"/>
      <c r="M68" s="222"/>
    </row>
    <row r="69" spans="1:13" x14ac:dyDescent="0.25">
      <c r="A69" s="118"/>
      <c r="B69" s="8"/>
      <c r="C69" s="1" t="s">
        <v>66</v>
      </c>
      <c r="D69" s="149">
        <f>D68</f>
        <v>1</v>
      </c>
      <c r="E69" s="109">
        <v>1000</v>
      </c>
      <c r="F69" s="137"/>
      <c r="G69" s="24"/>
      <c r="H69" s="24"/>
      <c r="I69" s="24"/>
      <c r="J69" s="24"/>
      <c r="K69" s="24"/>
      <c r="L69" s="8"/>
      <c r="M69" s="222"/>
    </row>
    <row r="70" spans="1:13" x14ac:dyDescent="0.25">
      <c r="A70" s="118"/>
      <c r="B70" s="8"/>
      <c r="C70" t="s">
        <v>67</v>
      </c>
      <c r="D70" s="149">
        <f t="shared" ref="D70:D74" si="4">D69</f>
        <v>1</v>
      </c>
      <c r="E70" s="109">
        <v>1000</v>
      </c>
      <c r="F70" s="137"/>
      <c r="G70" s="24"/>
      <c r="H70" s="24"/>
      <c r="I70" s="24"/>
      <c r="J70" s="24"/>
      <c r="K70" s="24"/>
      <c r="L70" s="8"/>
      <c r="M70" s="222"/>
    </row>
    <row r="71" spans="1:13" x14ac:dyDescent="0.25">
      <c r="A71" s="118"/>
      <c r="B71" s="8"/>
      <c r="C71" t="s">
        <v>59</v>
      </c>
      <c r="D71" s="149">
        <f t="shared" si="4"/>
        <v>1</v>
      </c>
      <c r="E71" s="109">
        <v>1000</v>
      </c>
      <c r="F71" s="137"/>
      <c r="G71" s="24"/>
      <c r="H71" s="24"/>
      <c r="I71" s="24"/>
      <c r="J71" s="24"/>
      <c r="K71" s="24"/>
      <c r="L71" s="8"/>
      <c r="M71" s="222"/>
    </row>
    <row r="72" spans="1:13" x14ac:dyDescent="0.25">
      <c r="A72" s="118"/>
      <c r="B72" s="8"/>
      <c r="C72" t="s">
        <v>68</v>
      </c>
      <c r="D72" s="149">
        <f t="shared" si="4"/>
        <v>1</v>
      </c>
      <c r="E72" s="109">
        <v>1000</v>
      </c>
      <c r="F72" s="137"/>
      <c r="G72" s="24"/>
      <c r="H72" s="24"/>
      <c r="I72" s="24"/>
      <c r="J72" s="24"/>
      <c r="K72" s="24"/>
      <c r="L72" s="8"/>
      <c r="M72" s="222"/>
    </row>
    <row r="73" spans="1:13" x14ac:dyDescent="0.25">
      <c r="A73" s="118"/>
      <c r="B73" s="8"/>
      <c r="C73" t="s">
        <v>69</v>
      </c>
      <c r="D73" s="149">
        <f t="shared" si="4"/>
        <v>1</v>
      </c>
      <c r="E73" s="109">
        <v>1000</v>
      </c>
      <c r="F73" s="137"/>
      <c r="G73" s="24"/>
      <c r="H73" s="24"/>
      <c r="I73" s="24"/>
      <c r="J73" s="24"/>
      <c r="K73" s="24"/>
      <c r="L73" s="8"/>
      <c r="M73" s="222"/>
    </row>
    <row r="74" spans="1:13" x14ac:dyDescent="0.25">
      <c r="A74" s="118"/>
      <c r="B74" s="8"/>
      <c r="C74" t="s">
        <v>86</v>
      </c>
      <c r="D74" s="149">
        <f t="shared" si="4"/>
        <v>1</v>
      </c>
      <c r="E74" s="109">
        <v>1000</v>
      </c>
      <c r="F74" s="137"/>
      <c r="G74" s="24"/>
      <c r="H74" s="24"/>
      <c r="I74" s="24"/>
      <c r="J74" s="24"/>
      <c r="K74" s="24"/>
      <c r="L74" s="8"/>
      <c r="M74" s="222"/>
    </row>
    <row r="75" spans="1:13" x14ac:dyDescent="0.25">
      <c r="A75" s="118"/>
      <c r="B75" s="8"/>
      <c r="C75" t="s">
        <v>70</v>
      </c>
      <c r="D75" s="149">
        <f>D74</f>
        <v>1</v>
      </c>
      <c r="E75" s="109">
        <v>1000</v>
      </c>
      <c r="F75" s="137"/>
      <c r="G75" s="24"/>
      <c r="H75" s="24"/>
      <c r="I75" s="24"/>
      <c r="J75" s="24"/>
      <c r="K75" s="24"/>
      <c r="L75" s="8"/>
      <c r="M75" s="222"/>
    </row>
    <row r="76" spans="1:13" x14ac:dyDescent="0.25">
      <c r="A76" s="118"/>
      <c r="B76" s="59"/>
      <c r="C76" s="77" t="s">
        <v>77</v>
      </c>
      <c r="D76" s="150">
        <f>D75</f>
        <v>1</v>
      </c>
      <c r="E76" s="112">
        <v>1000</v>
      </c>
      <c r="F76" s="137"/>
      <c r="G76" s="24"/>
      <c r="H76" s="24"/>
      <c r="I76" s="24"/>
      <c r="J76" s="24"/>
      <c r="K76" s="24"/>
      <c r="L76" s="8"/>
      <c r="M76" s="222"/>
    </row>
    <row r="77" spans="1:13" x14ac:dyDescent="0.25">
      <c r="A77" s="18"/>
      <c r="B77" s="8" t="s">
        <v>507</v>
      </c>
      <c r="C77" s="1" t="s">
        <v>65</v>
      </c>
      <c r="D77" s="149">
        <f>E77/1000</f>
        <v>1.8</v>
      </c>
      <c r="E77" s="109">
        <v>1800</v>
      </c>
      <c r="F77" s="137"/>
      <c r="G77" s="24"/>
      <c r="H77" s="24"/>
      <c r="I77" s="24"/>
      <c r="J77" s="24"/>
      <c r="K77" s="24"/>
      <c r="L77" s="8"/>
      <c r="M77" s="222"/>
    </row>
    <row r="78" spans="1:13" x14ac:dyDescent="0.25">
      <c r="A78" s="18"/>
      <c r="B78" s="8"/>
      <c r="C78" s="1" t="s">
        <v>66</v>
      </c>
      <c r="D78" s="149">
        <f>D77</f>
        <v>1.8</v>
      </c>
      <c r="E78" s="109">
        <v>1800</v>
      </c>
      <c r="F78" s="137"/>
      <c r="G78" s="24"/>
      <c r="H78" s="24"/>
      <c r="I78" s="24"/>
      <c r="J78" s="24"/>
      <c r="K78" s="24"/>
      <c r="L78" s="8"/>
      <c r="M78" s="222"/>
    </row>
    <row r="79" spans="1:13" x14ac:dyDescent="0.25">
      <c r="A79" s="18"/>
      <c r="B79" s="8"/>
      <c r="C79" t="s">
        <v>67</v>
      </c>
      <c r="D79" s="149">
        <f t="shared" ref="D79:D83" si="5">D78</f>
        <v>1.8</v>
      </c>
      <c r="E79" s="109">
        <v>1800</v>
      </c>
      <c r="F79" s="137"/>
      <c r="G79" s="24"/>
      <c r="H79" s="24"/>
      <c r="I79" s="24"/>
      <c r="J79" s="24"/>
      <c r="K79" s="24"/>
      <c r="L79" s="8"/>
      <c r="M79" s="222"/>
    </row>
    <row r="80" spans="1:13" x14ac:dyDescent="0.25">
      <c r="A80" s="18"/>
      <c r="B80" s="8"/>
      <c r="C80" t="s">
        <v>59</v>
      </c>
      <c r="D80" s="149">
        <f t="shared" si="5"/>
        <v>1.8</v>
      </c>
      <c r="E80" s="109">
        <v>1800</v>
      </c>
      <c r="F80" s="137"/>
      <c r="G80" s="24"/>
      <c r="H80" s="24"/>
      <c r="I80" s="24"/>
      <c r="J80" s="24"/>
      <c r="K80" s="24"/>
      <c r="L80" s="8"/>
      <c r="M80" s="222"/>
    </row>
    <row r="81" spans="1:13" x14ac:dyDescent="0.25">
      <c r="A81" s="18"/>
      <c r="B81" s="8"/>
      <c r="C81" t="s">
        <v>68</v>
      </c>
      <c r="D81" s="149">
        <f t="shared" si="5"/>
        <v>1.8</v>
      </c>
      <c r="E81" s="109">
        <v>1800</v>
      </c>
      <c r="F81" s="137"/>
      <c r="G81" s="24"/>
      <c r="H81" s="24"/>
      <c r="I81" s="24"/>
      <c r="J81" s="24"/>
      <c r="K81" s="24"/>
      <c r="L81" s="8"/>
      <c r="M81" s="222"/>
    </row>
    <row r="82" spans="1:13" x14ac:dyDescent="0.25">
      <c r="A82" s="18"/>
      <c r="B82" s="8"/>
      <c r="C82" t="s">
        <v>69</v>
      </c>
      <c r="D82" s="149">
        <f t="shared" si="5"/>
        <v>1.8</v>
      </c>
      <c r="E82" s="109">
        <v>1800</v>
      </c>
      <c r="F82" s="137"/>
      <c r="G82" s="24"/>
      <c r="H82" s="24"/>
      <c r="I82" s="24"/>
      <c r="J82" s="24"/>
      <c r="K82" s="24"/>
      <c r="L82" s="8"/>
      <c r="M82" s="222"/>
    </row>
    <row r="83" spans="1:13" x14ac:dyDescent="0.25">
      <c r="A83" s="18"/>
      <c r="B83" s="8"/>
      <c r="C83" t="s">
        <v>86</v>
      </c>
      <c r="D83" s="149">
        <f t="shared" si="5"/>
        <v>1.8</v>
      </c>
      <c r="E83" s="109">
        <v>1800</v>
      </c>
      <c r="F83" s="137"/>
      <c r="G83" s="24"/>
      <c r="H83" s="24"/>
      <c r="I83" s="24"/>
      <c r="J83" s="24"/>
      <c r="K83" s="24"/>
      <c r="L83" s="8"/>
      <c r="M83" s="222"/>
    </row>
    <row r="84" spans="1:13" x14ac:dyDescent="0.25">
      <c r="A84" s="18"/>
      <c r="B84" s="8"/>
      <c r="C84" t="s">
        <v>70</v>
      </c>
      <c r="D84" s="149">
        <f>D83</f>
        <v>1.8</v>
      </c>
      <c r="E84" s="109">
        <v>1800</v>
      </c>
      <c r="F84" s="137"/>
      <c r="G84" s="24"/>
      <c r="H84" s="24"/>
      <c r="I84" s="24"/>
      <c r="J84" s="24"/>
      <c r="K84" s="24"/>
      <c r="L84" s="8"/>
      <c r="M84" s="222"/>
    </row>
    <row r="85" spans="1:13" x14ac:dyDescent="0.25">
      <c r="A85" s="18"/>
      <c r="B85" s="59"/>
      <c r="C85" s="77" t="s">
        <v>77</v>
      </c>
      <c r="D85" s="150">
        <f>D84</f>
        <v>1.8</v>
      </c>
      <c r="E85" s="109">
        <v>1800</v>
      </c>
      <c r="F85" s="137"/>
      <c r="G85" s="24"/>
      <c r="H85" s="24"/>
      <c r="I85" s="24"/>
      <c r="J85" s="24"/>
      <c r="K85" s="24"/>
      <c r="L85" s="8"/>
      <c r="M85" s="222"/>
    </row>
    <row r="86" spans="1:13" x14ac:dyDescent="0.25">
      <c r="A86" s="118" t="s">
        <v>523</v>
      </c>
      <c r="B86" s="8" t="s">
        <v>308</v>
      </c>
      <c r="C86" s="1" t="s">
        <v>65</v>
      </c>
      <c r="D86" s="149">
        <f>E86/1000</f>
        <v>1.5</v>
      </c>
      <c r="E86" s="109">
        <v>1500</v>
      </c>
      <c r="F86" s="137"/>
      <c r="G86" s="24"/>
      <c r="H86" s="154"/>
      <c r="I86" s="24"/>
      <c r="J86" s="24"/>
      <c r="K86" s="24"/>
      <c r="L86" s="8"/>
      <c r="M86" s="222"/>
    </row>
    <row r="87" spans="1:13" x14ac:dyDescent="0.25">
      <c r="A87" s="118"/>
      <c r="B87" s="8"/>
      <c r="C87" s="1" t="s">
        <v>66</v>
      </c>
      <c r="D87" s="149">
        <f>D86</f>
        <v>1.5</v>
      </c>
      <c r="E87" s="109">
        <v>1500</v>
      </c>
      <c r="F87" s="137"/>
      <c r="G87" s="24"/>
      <c r="H87" s="24"/>
      <c r="I87" s="24"/>
      <c r="J87" s="24"/>
      <c r="K87" s="24"/>
      <c r="L87" s="8"/>
      <c r="M87" s="222"/>
    </row>
    <row r="88" spans="1:13" x14ac:dyDescent="0.25">
      <c r="A88" s="118"/>
      <c r="B88" s="8"/>
      <c r="C88" t="s">
        <v>67</v>
      </c>
      <c r="D88" s="149">
        <f t="shared" ref="D88:D92" si="6">D87</f>
        <v>1.5</v>
      </c>
      <c r="E88" s="109">
        <v>1500</v>
      </c>
      <c r="F88" s="137"/>
      <c r="G88" s="24"/>
      <c r="H88" s="24"/>
      <c r="I88" s="24"/>
      <c r="J88" s="24"/>
      <c r="K88" s="24"/>
      <c r="L88" s="8"/>
      <c r="M88" s="222"/>
    </row>
    <row r="89" spans="1:13" x14ac:dyDescent="0.25">
      <c r="A89" s="118"/>
      <c r="B89" s="8"/>
      <c r="C89" t="s">
        <v>59</v>
      </c>
      <c r="D89" s="149">
        <f t="shared" si="6"/>
        <v>1.5</v>
      </c>
      <c r="E89" s="109">
        <v>1500</v>
      </c>
      <c r="F89" s="137"/>
      <c r="G89" s="24"/>
      <c r="H89" s="24"/>
      <c r="I89" s="24"/>
      <c r="J89" s="24"/>
      <c r="K89" s="24"/>
      <c r="L89" s="8"/>
      <c r="M89" s="222"/>
    </row>
    <row r="90" spans="1:13" x14ac:dyDescent="0.25">
      <c r="A90" s="118"/>
      <c r="B90" s="8"/>
      <c r="C90" t="s">
        <v>68</v>
      </c>
      <c r="D90" s="149">
        <f t="shared" si="6"/>
        <v>1.5</v>
      </c>
      <c r="E90" s="109">
        <v>1500</v>
      </c>
      <c r="F90" s="137"/>
      <c r="G90" s="24"/>
      <c r="H90" s="24"/>
      <c r="I90" s="24"/>
      <c r="J90" s="24"/>
      <c r="K90" s="24"/>
      <c r="L90" s="8"/>
      <c r="M90" s="222"/>
    </row>
    <row r="91" spans="1:13" x14ac:dyDescent="0.25">
      <c r="A91" s="118"/>
      <c r="B91" s="8"/>
      <c r="C91" t="s">
        <v>69</v>
      </c>
      <c r="D91" s="149">
        <f t="shared" si="6"/>
        <v>1.5</v>
      </c>
      <c r="E91" s="109">
        <v>1500</v>
      </c>
      <c r="F91" s="137"/>
      <c r="G91" s="24"/>
      <c r="H91" s="24"/>
      <c r="I91" s="24"/>
      <c r="J91" s="24"/>
      <c r="K91" s="24"/>
      <c r="L91" s="8"/>
      <c r="M91" s="222"/>
    </row>
    <row r="92" spans="1:13" x14ac:dyDescent="0.25">
      <c r="A92" s="118"/>
      <c r="B92" s="8"/>
      <c r="C92" t="s">
        <v>86</v>
      </c>
      <c r="D92" s="149">
        <f t="shared" si="6"/>
        <v>1.5</v>
      </c>
      <c r="E92" s="109">
        <v>1500</v>
      </c>
      <c r="F92" s="137"/>
      <c r="G92" s="24"/>
      <c r="H92" s="24"/>
      <c r="I92" s="24"/>
      <c r="J92" s="24"/>
      <c r="K92" s="24"/>
      <c r="L92" s="8"/>
      <c r="M92" s="222"/>
    </row>
    <row r="93" spans="1:13" x14ac:dyDescent="0.25">
      <c r="A93" s="118"/>
      <c r="B93" s="8"/>
      <c r="C93" t="s">
        <v>70</v>
      </c>
      <c r="D93" s="149">
        <f>D92</f>
        <v>1.5</v>
      </c>
      <c r="E93" s="109">
        <v>1500</v>
      </c>
      <c r="F93" s="137"/>
      <c r="G93" s="24"/>
      <c r="H93" s="24"/>
      <c r="I93" s="24"/>
      <c r="J93" s="24"/>
      <c r="K93" s="24"/>
      <c r="L93" s="8"/>
      <c r="M93" s="222"/>
    </row>
    <row r="94" spans="1:13" x14ac:dyDescent="0.25">
      <c r="A94" s="118"/>
      <c r="B94" s="59"/>
      <c r="C94" s="77" t="s">
        <v>77</v>
      </c>
      <c r="D94" s="150">
        <f>D93</f>
        <v>1.5</v>
      </c>
      <c r="E94" s="112">
        <v>1500</v>
      </c>
      <c r="F94" s="137"/>
      <c r="G94" s="24"/>
      <c r="H94" s="24"/>
      <c r="I94" s="24"/>
      <c r="J94" s="24"/>
      <c r="K94" s="24"/>
      <c r="L94" s="8"/>
      <c r="M94" s="222"/>
    </row>
    <row r="95" spans="1:13" x14ac:dyDescent="0.25">
      <c r="A95" s="18"/>
      <c r="B95" s="8" t="s">
        <v>507</v>
      </c>
      <c r="C95" s="1" t="s">
        <v>65</v>
      </c>
      <c r="D95" s="149">
        <f>E95/1000</f>
        <v>2</v>
      </c>
      <c r="E95" s="109">
        <v>2000</v>
      </c>
      <c r="F95" s="137"/>
      <c r="G95" s="24"/>
      <c r="H95" s="24"/>
      <c r="I95" s="24"/>
      <c r="J95" s="24"/>
      <c r="K95" s="24"/>
      <c r="L95" s="8"/>
      <c r="M95" s="222"/>
    </row>
    <row r="96" spans="1:13" x14ac:dyDescent="0.25">
      <c r="A96" s="18"/>
      <c r="B96" s="8"/>
      <c r="C96" s="1" t="s">
        <v>66</v>
      </c>
      <c r="D96" s="149">
        <f>D95</f>
        <v>2</v>
      </c>
      <c r="E96" s="109">
        <v>2000</v>
      </c>
      <c r="F96" s="137"/>
      <c r="G96" s="24"/>
      <c r="H96" s="24"/>
      <c r="I96" s="24"/>
      <c r="J96" s="24"/>
      <c r="K96" s="24"/>
      <c r="L96" s="8"/>
      <c r="M96" s="222"/>
    </row>
    <row r="97" spans="1:13" x14ac:dyDescent="0.25">
      <c r="A97" s="18"/>
      <c r="B97" s="8"/>
      <c r="C97" t="s">
        <v>67</v>
      </c>
      <c r="D97" s="149">
        <f t="shared" ref="D97:D101" si="7">D96</f>
        <v>2</v>
      </c>
      <c r="E97" s="109">
        <v>2000</v>
      </c>
      <c r="F97" s="137"/>
      <c r="G97" s="24"/>
      <c r="H97" s="24"/>
      <c r="I97" s="24"/>
      <c r="J97" s="24"/>
      <c r="K97" s="24"/>
      <c r="L97" s="8"/>
      <c r="M97" s="222"/>
    </row>
    <row r="98" spans="1:13" x14ac:dyDescent="0.25">
      <c r="A98" s="18"/>
      <c r="B98" s="8"/>
      <c r="C98" t="s">
        <v>59</v>
      </c>
      <c r="D98" s="149">
        <f t="shared" si="7"/>
        <v>2</v>
      </c>
      <c r="E98" s="109">
        <v>2000</v>
      </c>
      <c r="F98" s="137"/>
      <c r="G98" s="24"/>
      <c r="H98" s="24"/>
      <c r="I98" s="24"/>
      <c r="J98" s="24"/>
      <c r="K98" s="24"/>
      <c r="L98" s="8"/>
      <c r="M98" s="222"/>
    </row>
    <row r="99" spans="1:13" x14ac:dyDescent="0.25">
      <c r="A99" s="18"/>
      <c r="B99" s="8"/>
      <c r="C99" t="s">
        <v>68</v>
      </c>
      <c r="D99" s="149">
        <f t="shared" si="7"/>
        <v>2</v>
      </c>
      <c r="E99" s="109">
        <v>2000</v>
      </c>
      <c r="F99" s="137"/>
      <c r="G99" s="24"/>
      <c r="H99" s="24"/>
      <c r="I99" s="24"/>
      <c r="J99" s="24"/>
      <c r="K99" s="24"/>
      <c r="L99" s="8"/>
      <c r="M99" s="222"/>
    </row>
    <row r="100" spans="1:13" x14ac:dyDescent="0.25">
      <c r="A100" s="18"/>
      <c r="B100" s="8"/>
      <c r="C100" t="s">
        <v>69</v>
      </c>
      <c r="D100" s="149">
        <f t="shared" si="7"/>
        <v>2</v>
      </c>
      <c r="E100" s="109">
        <v>2000</v>
      </c>
      <c r="F100" s="137"/>
      <c r="G100" s="24"/>
      <c r="H100" s="24"/>
      <c r="I100" s="24"/>
      <c r="J100" s="24"/>
      <c r="K100" s="24"/>
      <c r="L100" s="8"/>
      <c r="M100" s="222"/>
    </row>
    <row r="101" spans="1:13" x14ac:dyDescent="0.25">
      <c r="A101" s="18"/>
      <c r="B101" s="8"/>
      <c r="C101" t="s">
        <v>86</v>
      </c>
      <c r="D101" s="149">
        <f t="shared" si="7"/>
        <v>2</v>
      </c>
      <c r="E101" s="109">
        <v>2000</v>
      </c>
      <c r="F101" s="137"/>
      <c r="G101" s="24"/>
      <c r="H101" s="24"/>
      <c r="I101" s="24"/>
      <c r="J101" s="24"/>
      <c r="K101" s="24"/>
      <c r="L101" s="8"/>
      <c r="M101" s="222"/>
    </row>
    <row r="102" spans="1:13" x14ac:dyDescent="0.25">
      <c r="A102" s="18"/>
      <c r="B102" s="8"/>
      <c r="C102" t="s">
        <v>70</v>
      </c>
      <c r="D102" s="149">
        <f>D101</f>
        <v>2</v>
      </c>
      <c r="E102" s="109">
        <v>2000</v>
      </c>
      <c r="F102" s="137"/>
      <c r="G102" s="24"/>
      <c r="H102" s="24"/>
      <c r="I102" s="24"/>
      <c r="J102" s="24"/>
      <c r="K102" s="24"/>
      <c r="L102" s="8"/>
      <c r="M102" s="222"/>
    </row>
    <row r="103" spans="1:13" x14ac:dyDescent="0.25">
      <c r="A103" s="18"/>
      <c r="B103" s="59"/>
      <c r="C103" s="77" t="s">
        <v>77</v>
      </c>
      <c r="D103" s="150">
        <f>D102</f>
        <v>2</v>
      </c>
      <c r="E103" s="109">
        <v>2000</v>
      </c>
      <c r="F103" s="137"/>
      <c r="G103" s="24"/>
      <c r="H103" s="24"/>
      <c r="I103" s="24"/>
      <c r="J103" s="24"/>
      <c r="K103" s="24"/>
      <c r="L103" s="8"/>
      <c r="M103" s="222"/>
    </row>
    <row r="104" spans="1:13" x14ac:dyDescent="0.25">
      <c r="A104" s="118" t="s">
        <v>524</v>
      </c>
      <c r="B104" s="8" t="s">
        <v>308</v>
      </c>
      <c r="C104" s="1" t="s">
        <v>65</v>
      </c>
      <c r="D104" s="149">
        <f>E104/1000</f>
        <v>0.5</v>
      </c>
      <c r="E104" s="109">
        <v>500</v>
      </c>
      <c r="F104" s="137"/>
      <c r="G104" s="24"/>
      <c r="H104" s="154"/>
      <c r="I104" s="24"/>
      <c r="J104" s="24"/>
      <c r="K104" s="24"/>
      <c r="L104" s="8"/>
      <c r="M104" s="222"/>
    </row>
    <row r="105" spans="1:13" x14ac:dyDescent="0.25">
      <c r="A105" s="118"/>
      <c r="B105" s="8"/>
      <c r="C105" s="1" t="s">
        <v>66</v>
      </c>
      <c r="D105" s="149">
        <f>D104</f>
        <v>0.5</v>
      </c>
      <c r="E105" s="109">
        <v>500</v>
      </c>
      <c r="F105" s="137"/>
      <c r="G105" s="24"/>
      <c r="H105" s="24"/>
      <c r="I105" s="24"/>
      <c r="J105" s="24"/>
      <c r="K105" s="24"/>
      <c r="L105" s="8"/>
      <c r="M105" s="222"/>
    </row>
    <row r="106" spans="1:13" x14ac:dyDescent="0.25">
      <c r="A106" s="118"/>
      <c r="B106" s="8"/>
      <c r="C106" t="s">
        <v>67</v>
      </c>
      <c r="D106" s="149">
        <f t="shared" ref="D106:D110" si="8">D105</f>
        <v>0.5</v>
      </c>
      <c r="E106" s="109">
        <v>500</v>
      </c>
      <c r="F106" s="137"/>
      <c r="G106" s="24"/>
      <c r="H106" s="24"/>
      <c r="I106" s="24"/>
      <c r="J106" s="24"/>
      <c r="K106" s="24"/>
      <c r="L106" s="8"/>
      <c r="M106" s="222"/>
    </row>
    <row r="107" spans="1:13" x14ac:dyDescent="0.25">
      <c r="A107" s="118"/>
      <c r="B107" s="8"/>
      <c r="C107" t="s">
        <v>59</v>
      </c>
      <c r="D107" s="149">
        <f t="shared" si="8"/>
        <v>0.5</v>
      </c>
      <c r="E107" s="109">
        <v>500</v>
      </c>
      <c r="F107" s="137"/>
      <c r="G107" s="24"/>
      <c r="H107" s="24"/>
      <c r="I107" s="24"/>
      <c r="J107" s="24"/>
      <c r="K107" s="24"/>
      <c r="L107" s="8"/>
      <c r="M107" s="222"/>
    </row>
    <row r="108" spans="1:13" x14ac:dyDescent="0.25">
      <c r="A108" s="118"/>
      <c r="B108" s="8"/>
      <c r="C108" t="s">
        <v>68</v>
      </c>
      <c r="D108" s="149">
        <f t="shared" si="8"/>
        <v>0.5</v>
      </c>
      <c r="E108" s="109">
        <v>500</v>
      </c>
      <c r="F108" s="137"/>
      <c r="G108" s="24"/>
      <c r="H108" s="24"/>
      <c r="I108" s="24"/>
      <c r="J108" s="24"/>
      <c r="K108" s="24"/>
      <c r="L108" s="8"/>
      <c r="M108" s="222"/>
    </row>
    <row r="109" spans="1:13" x14ac:dyDescent="0.25">
      <c r="A109" s="118"/>
      <c r="B109" s="8"/>
      <c r="C109" t="s">
        <v>69</v>
      </c>
      <c r="D109" s="149">
        <f t="shared" si="8"/>
        <v>0.5</v>
      </c>
      <c r="E109" s="109">
        <v>500</v>
      </c>
      <c r="F109" s="137"/>
      <c r="G109" s="24"/>
      <c r="H109" s="24"/>
      <c r="I109" s="24"/>
      <c r="J109" s="24"/>
      <c r="K109" s="24"/>
      <c r="L109" s="8"/>
      <c r="M109" s="222"/>
    </row>
    <row r="110" spans="1:13" x14ac:dyDescent="0.25">
      <c r="A110" s="118"/>
      <c r="B110" s="8"/>
      <c r="C110" t="s">
        <v>86</v>
      </c>
      <c r="D110" s="149">
        <f t="shared" si="8"/>
        <v>0.5</v>
      </c>
      <c r="E110" s="109">
        <v>500</v>
      </c>
      <c r="F110" s="137"/>
      <c r="G110" s="24"/>
      <c r="H110" s="24"/>
      <c r="I110" s="24"/>
      <c r="J110" s="24"/>
      <c r="K110" s="24"/>
      <c r="L110" s="8"/>
      <c r="M110" s="222"/>
    </row>
    <row r="111" spans="1:13" x14ac:dyDescent="0.25">
      <c r="A111" s="118"/>
      <c r="B111" s="8"/>
      <c r="C111" t="s">
        <v>70</v>
      </c>
      <c r="D111" s="149">
        <f>D110</f>
        <v>0.5</v>
      </c>
      <c r="E111" s="109">
        <v>500</v>
      </c>
      <c r="F111" s="137"/>
      <c r="G111" s="24"/>
      <c r="H111" s="24"/>
      <c r="I111" s="24"/>
      <c r="J111" s="24"/>
      <c r="K111" s="24"/>
      <c r="L111" s="8"/>
      <c r="M111" s="222"/>
    </row>
    <row r="112" spans="1:13" x14ac:dyDescent="0.25">
      <c r="A112" s="118"/>
      <c r="B112" s="59"/>
      <c r="C112" s="77" t="s">
        <v>77</v>
      </c>
      <c r="D112" s="150">
        <f>D111</f>
        <v>0.5</v>
      </c>
      <c r="E112" s="112">
        <v>500</v>
      </c>
      <c r="F112" s="137"/>
      <c r="G112" s="24"/>
      <c r="H112" s="24"/>
      <c r="I112" s="24"/>
      <c r="J112" s="24"/>
      <c r="K112" s="24"/>
      <c r="L112" s="8"/>
      <c r="M112" s="222"/>
    </row>
    <row r="113" spans="1:13" x14ac:dyDescent="0.25">
      <c r="A113" s="18"/>
      <c r="B113" s="8" t="s">
        <v>507</v>
      </c>
      <c r="C113" s="1" t="s">
        <v>65</v>
      </c>
      <c r="D113" s="149">
        <f>E113/1000</f>
        <v>1</v>
      </c>
      <c r="E113" s="109">
        <v>1000</v>
      </c>
      <c r="F113" s="137"/>
      <c r="G113" s="24"/>
      <c r="H113" s="24"/>
      <c r="I113" s="24"/>
      <c r="J113" s="24"/>
      <c r="K113" s="24"/>
      <c r="L113" s="8"/>
      <c r="M113" s="222"/>
    </row>
    <row r="114" spans="1:13" x14ac:dyDescent="0.25">
      <c r="A114" s="18"/>
      <c r="B114" s="8"/>
      <c r="C114" s="1" t="s">
        <v>66</v>
      </c>
      <c r="D114" s="149">
        <f>D113</f>
        <v>1</v>
      </c>
      <c r="E114" s="109">
        <v>1000</v>
      </c>
      <c r="F114" s="137"/>
      <c r="G114" s="24"/>
      <c r="H114" s="24"/>
      <c r="I114" s="24"/>
      <c r="J114" s="24"/>
      <c r="K114" s="24"/>
      <c r="L114" s="8"/>
      <c r="M114" s="222"/>
    </row>
    <row r="115" spans="1:13" x14ac:dyDescent="0.25">
      <c r="A115" s="18"/>
      <c r="B115" s="8"/>
      <c r="C115" t="s">
        <v>67</v>
      </c>
      <c r="D115" s="149">
        <f t="shared" ref="D115:D119" si="9">D114</f>
        <v>1</v>
      </c>
      <c r="E115" s="109">
        <v>1000</v>
      </c>
      <c r="F115" s="137"/>
      <c r="G115" s="24"/>
      <c r="H115" s="24"/>
      <c r="I115" s="24"/>
      <c r="J115" s="24"/>
      <c r="K115" s="24"/>
      <c r="L115" s="8"/>
      <c r="M115" s="222"/>
    </row>
    <row r="116" spans="1:13" x14ac:dyDescent="0.25">
      <c r="A116" s="18"/>
      <c r="B116" s="8"/>
      <c r="C116" t="s">
        <v>59</v>
      </c>
      <c r="D116" s="149">
        <f t="shared" si="9"/>
        <v>1</v>
      </c>
      <c r="E116" s="109">
        <v>1000</v>
      </c>
      <c r="F116" s="137"/>
      <c r="G116" s="24"/>
      <c r="H116" s="24"/>
      <c r="I116" s="24"/>
      <c r="J116" s="24"/>
      <c r="K116" s="24"/>
      <c r="L116" s="8"/>
      <c r="M116" s="222"/>
    </row>
    <row r="117" spans="1:13" x14ac:dyDescent="0.25">
      <c r="A117" s="18"/>
      <c r="B117" s="8"/>
      <c r="C117" t="s">
        <v>68</v>
      </c>
      <c r="D117" s="149">
        <f t="shared" si="9"/>
        <v>1</v>
      </c>
      <c r="E117" s="109">
        <v>1000</v>
      </c>
      <c r="F117" s="137"/>
      <c r="G117" s="24"/>
      <c r="H117" s="24"/>
      <c r="I117" s="24"/>
      <c r="J117" s="24"/>
      <c r="K117" s="24"/>
      <c r="L117" s="8"/>
      <c r="M117" s="222"/>
    </row>
    <row r="118" spans="1:13" x14ac:dyDescent="0.25">
      <c r="A118" s="18"/>
      <c r="B118" s="8"/>
      <c r="C118" t="s">
        <v>69</v>
      </c>
      <c r="D118" s="149">
        <f t="shared" si="9"/>
        <v>1</v>
      </c>
      <c r="E118" s="109">
        <v>1000</v>
      </c>
      <c r="F118" s="137"/>
      <c r="G118" s="24"/>
      <c r="H118" s="24"/>
      <c r="I118" s="24"/>
      <c r="J118" s="24"/>
      <c r="K118" s="24"/>
      <c r="L118" s="8"/>
      <c r="M118" s="222"/>
    </row>
    <row r="119" spans="1:13" x14ac:dyDescent="0.25">
      <c r="A119" s="18"/>
      <c r="B119" s="8"/>
      <c r="C119" t="s">
        <v>86</v>
      </c>
      <c r="D119" s="149">
        <f t="shared" si="9"/>
        <v>1</v>
      </c>
      <c r="E119" s="109">
        <v>1000</v>
      </c>
      <c r="F119" s="137"/>
      <c r="G119" s="24"/>
      <c r="H119" s="24"/>
      <c r="I119" s="24"/>
      <c r="J119" s="24"/>
      <c r="K119" s="24"/>
      <c r="L119" s="8"/>
      <c r="M119" s="222"/>
    </row>
    <row r="120" spans="1:13" x14ac:dyDescent="0.25">
      <c r="A120" s="18"/>
      <c r="B120" s="8"/>
      <c r="C120" t="s">
        <v>70</v>
      </c>
      <c r="D120" s="149">
        <f>D119</f>
        <v>1</v>
      </c>
      <c r="E120" s="109">
        <v>1000</v>
      </c>
      <c r="F120" s="137"/>
      <c r="G120" s="24"/>
      <c r="H120" s="24"/>
      <c r="I120" s="24"/>
      <c r="J120" s="24"/>
      <c r="K120" s="24"/>
      <c r="L120" s="8"/>
      <c r="M120" s="222"/>
    </row>
    <row r="121" spans="1:13" x14ac:dyDescent="0.25">
      <c r="A121" s="18"/>
      <c r="B121" s="59"/>
      <c r="C121" s="77" t="s">
        <v>77</v>
      </c>
      <c r="D121" s="150">
        <f>D120</f>
        <v>1</v>
      </c>
      <c r="E121" s="109">
        <v>1000</v>
      </c>
      <c r="F121" s="137"/>
      <c r="G121" s="24"/>
      <c r="H121" s="24"/>
      <c r="I121" s="24"/>
      <c r="J121" s="24"/>
      <c r="K121" s="24"/>
      <c r="L121" s="8"/>
      <c r="M121" s="2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showGridLines="0" zoomScaleNormal="100" workbookViewId="0">
      <selection activeCell="D35" sqref="D35"/>
    </sheetView>
  </sheetViews>
  <sheetFormatPr defaultRowHeight="11.5" x14ac:dyDescent="0.25"/>
  <cols>
    <col min="1" max="1" width="18" customWidth="1"/>
    <col min="2" max="2" width="14.26953125" customWidth="1"/>
    <col min="3" max="3" width="11.26953125" customWidth="1"/>
    <col min="4" max="5" width="9.453125" bestFit="1" customWidth="1"/>
  </cols>
  <sheetData>
    <row r="1" spans="1:15" ht="19.5" x14ac:dyDescent="0.35">
      <c r="A1" s="6" t="s">
        <v>270</v>
      </c>
    </row>
    <row r="2" spans="1:15" x14ac:dyDescent="0.25">
      <c r="A2" s="5" t="s">
        <v>384</v>
      </c>
      <c r="F2" s="1"/>
      <c r="G2" s="1"/>
    </row>
    <row r="3" spans="1:15" x14ac:dyDescent="0.25">
      <c r="B3" s="5"/>
      <c r="F3" s="1"/>
      <c r="G3" s="1"/>
      <c r="K3" s="1"/>
      <c r="L3" s="1"/>
      <c r="M3" s="1"/>
      <c r="N3" s="1"/>
      <c r="O3" s="1"/>
    </row>
    <row r="4" spans="1:15" ht="12" customHeight="1" x14ac:dyDescent="0.25">
      <c r="A4" s="63" t="s">
        <v>128</v>
      </c>
      <c r="B4" s="191"/>
      <c r="C4" s="192"/>
      <c r="D4" s="187"/>
      <c r="E4" s="187"/>
      <c r="F4" s="182"/>
      <c r="G4" s="11"/>
      <c r="K4" s="1"/>
      <c r="L4" s="98"/>
      <c r="M4" s="11"/>
      <c r="N4" s="11"/>
      <c r="O4" s="11"/>
    </row>
    <row r="5" spans="1:15" x14ac:dyDescent="0.25">
      <c r="A5" s="56"/>
      <c r="B5" s="8"/>
      <c r="C5" s="8"/>
      <c r="D5" s="8"/>
      <c r="E5" s="8"/>
      <c r="F5" s="158"/>
      <c r="G5" s="8"/>
      <c r="K5" s="1"/>
      <c r="L5" s="8"/>
      <c r="M5" s="8"/>
      <c r="N5" s="1"/>
      <c r="O5" s="1"/>
    </row>
    <row r="6" spans="1:15" x14ac:dyDescent="0.25">
      <c r="A6" s="189" t="s">
        <v>386</v>
      </c>
      <c r="B6" s="92"/>
      <c r="C6" s="100"/>
      <c r="D6" s="91"/>
      <c r="E6" s="1"/>
      <c r="F6" s="160"/>
      <c r="G6" s="1"/>
      <c r="K6" s="1"/>
      <c r="L6" s="99"/>
      <c r="M6" s="99"/>
      <c r="N6" s="99"/>
      <c r="O6" s="99"/>
    </row>
    <row r="7" spans="1:15" x14ac:dyDescent="0.25">
      <c r="A7" s="193" t="s">
        <v>251</v>
      </c>
      <c r="B7" s="99" t="s">
        <v>277</v>
      </c>
      <c r="C7" s="1" t="s">
        <v>278</v>
      </c>
      <c r="D7" s="1"/>
      <c r="E7" s="1"/>
      <c r="F7" s="160"/>
      <c r="G7" s="1"/>
      <c r="K7" s="1"/>
      <c r="L7" s="99"/>
      <c r="M7" s="99"/>
      <c r="N7" s="99"/>
      <c r="O7" s="99"/>
    </row>
    <row r="8" spans="1:15" x14ac:dyDescent="0.25">
      <c r="A8" s="193" t="s">
        <v>256</v>
      </c>
      <c r="B8" s="91">
        <v>3</v>
      </c>
      <c r="C8" s="91">
        <v>2</v>
      </c>
      <c r="D8" s="1"/>
      <c r="E8" s="1"/>
      <c r="F8" s="160"/>
      <c r="G8" s="1"/>
      <c r="K8" s="1"/>
      <c r="L8" s="8"/>
      <c r="M8" s="1"/>
      <c r="N8" s="1"/>
      <c r="O8" s="16"/>
    </row>
    <row r="9" spans="1:15" x14ac:dyDescent="0.25">
      <c r="A9" s="194" t="s">
        <v>269</v>
      </c>
      <c r="B9" s="24">
        <v>11</v>
      </c>
      <c r="C9" s="91">
        <v>8.5</v>
      </c>
      <c r="D9" s="1"/>
      <c r="E9" s="89"/>
      <c r="F9" s="158"/>
      <c r="G9" s="8"/>
      <c r="K9" s="1"/>
      <c r="L9" s="8"/>
      <c r="M9" s="57"/>
      <c r="N9" s="16"/>
      <c r="O9" s="16"/>
    </row>
    <row r="10" spans="1:15" x14ac:dyDescent="0.25">
      <c r="A10" s="189"/>
      <c r="B10" s="1"/>
      <c r="C10" s="8"/>
      <c r="D10" s="1"/>
      <c r="E10" s="8"/>
      <c r="F10" s="158"/>
      <c r="G10" s="8"/>
      <c r="K10" s="1"/>
      <c r="L10" s="8"/>
      <c r="M10" s="8"/>
      <c r="N10" s="8"/>
      <c r="O10" s="16"/>
    </row>
    <row r="11" spans="1:15" x14ac:dyDescent="0.25">
      <c r="A11" s="193" t="s">
        <v>279</v>
      </c>
      <c r="B11" s="99" t="s">
        <v>249</v>
      </c>
      <c r="C11" s="97" t="s">
        <v>280</v>
      </c>
      <c r="D11" s="99" t="s">
        <v>273</v>
      </c>
      <c r="E11" s="1"/>
      <c r="F11" s="160"/>
      <c r="G11" s="8"/>
      <c r="K11" s="1"/>
      <c r="L11" s="8"/>
      <c r="M11" s="8"/>
      <c r="N11" s="8"/>
      <c r="O11" s="16"/>
    </row>
    <row r="12" spans="1:15" x14ac:dyDescent="0.25">
      <c r="A12" s="193">
        <v>1</v>
      </c>
      <c r="B12" s="99">
        <v>2.7779999999999998E-4</v>
      </c>
      <c r="C12" s="97">
        <v>1</v>
      </c>
      <c r="D12" s="99">
        <f>C12/B12*10^-6</f>
        <v>3.5997120230381575E-3</v>
      </c>
      <c r="E12" s="8"/>
      <c r="F12" s="158"/>
      <c r="G12" s="8"/>
      <c r="K12" s="1"/>
      <c r="L12" s="8"/>
      <c r="M12" s="8"/>
      <c r="N12" s="8"/>
      <c r="O12" s="16"/>
    </row>
    <row r="13" spans="1:15" x14ac:dyDescent="0.25">
      <c r="A13" s="189"/>
      <c r="B13" s="1"/>
      <c r="C13" s="1"/>
      <c r="D13" s="1"/>
      <c r="E13" s="8"/>
      <c r="F13" s="158"/>
      <c r="G13" s="8"/>
      <c r="K13" s="1"/>
      <c r="L13" s="8"/>
      <c r="M13" s="8"/>
      <c r="N13" s="8"/>
      <c r="O13" s="16"/>
    </row>
    <row r="14" spans="1:15" x14ac:dyDescent="0.25">
      <c r="A14" s="189" t="s">
        <v>382</v>
      </c>
      <c r="B14" s="1"/>
      <c r="C14" s="1"/>
      <c r="D14" s="1"/>
      <c r="E14" s="8"/>
      <c r="F14" s="158"/>
      <c r="G14" s="8"/>
      <c r="K14" s="1"/>
      <c r="L14" s="8"/>
      <c r="M14" s="8"/>
      <c r="N14" s="8"/>
      <c r="O14" s="16"/>
    </row>
    <row r="15" spans="1:15" x14ac:dyDescent="0.25">
      <c r="A15" s="189" t="s">
        <v>383</v>
      </c>
      <c r="B15" s="1"/>
      <c r="C15" s="1"/>
      <c r="D15" s="1"/>
      <c r="E15" s="8"/>
      <c r="F15" s="158"/>
      <c r="G15" s="8"/>
      <c r="K15" s="1"/>
      <c r="L15" s="8"/>
      <c r="M15" s="8"/>
      <c r="N15" s="8"/>
      <c r="O15" s="16"/>
    </row>
    <row r="16" spans="1:15" x14ac:dyDescent="0.25">
      <c r="A16" s="189" t="s">
        <v>385</v>
      </c>
      <c r="B16" s="1"/>
      <c r="C16" s="1"/>
      <c r="D16" s="1"/>
      <c r="E16" s="8"/>
      <c r="F16" s="158"/>
      <c r="G16" s="8"/>
      <c r="K16" s="1"/>
      <c r="L16" s="8"/>
      <c r="M16" s="8"/>
      <c r="N16" s="8"/>
      <c r="O16" s="16"/>
    </row>
    <row r="17" spans="1:15" x14ac:dyDescent="0.25">
      <c r="A17" s="56"/>
      <c r="B17" s="8"/>
      <c r="C17" s="8"/>
      <c r="D17" s="8"/>
      <c r="E17" s="8"/>
      <c r="F17" s="158"/>
      <c r="G17" s="8"/>
      <c r="K17" s="1"/>
      <c r="L17" s="8"/>
      <c r="M17" s="8"/>
      <c r="N17" s="8"/>
      <c r="O17" s="8"/>
    </row>
    <row r="18" spans="1:15" x14ac:dyDescent="0.25">
      <c r="A18" s="195"/>
      <c r="B18" s="190"/>
      <c r="C18" s="190"/>
      <c r="D18" s="190"/>
      <c r="E18" s="190"/>
      <c r="F18" s="186"/>
      <c r="G18" s="11"/>
      <c r="K18" s="1"/>
      <c r="L18" s="11"/>
      <c r="M18" s="11"/>
      <c r="N18" s="11"/>
      <c r="O18" s="11"/>
    </row>
    <row r="19" spans="1:15" x14ac:dyDescent="0.25">
      <c r="F19" s="1"/>
      <c r="G19" s="1"/>
      <c r="K19" s="1"/>
      <c r="L19" s="1"/>
      <c r="M19" s="1"/>
      <c r="N19" s="1"/>
      <c r="O19" s="1"/>
    </row>
    <row r="21" spans="1:15" x14ac:dyDescent="0.25">
      <c r="C21" s="7" t="s">
        <v>11</v>
      </c>
    </row>
    <row r="22" spans="1:15" x14ac:dyDescent="0.25">
      <c r="A22" s="138"/>
      <c r="B22" s="139" t="s">
        <v>87</v>
      </c>
      <c r="C22" s="77" t="s">
        <v>256</v>
      </c>
      <c r="D22" s="77" t="s">
        <v>269</v>
      </c>
      <c r="E22" s="77" t="s">
        <v>272</v>
      </c>
      <c r="F22" s="77" t="s">
        <v>265</v>
      </c>
      <c r="G22" s="190" t="s">
        <v>507</v>
      </c>
    </row>
    <row r="23" spans="1:15" x14ac:dyDescent="0.25">
      <c r="A23" t="s">
        <v>158</v>
      </c>
      <c r="B23" s="1" t="s">
        <v>65</v>
      </c>
      <c r="C23" s="94">
        <v>1.0799136069114472E-2</v>
      </c>
      <c r="D23" s="94">
        <v>3.0597552195824339E-2</v>
      </c>
      <c r="E23" s="96">
        <v>0</v>
      </c>
      <c r="F23" s="96">
        <v>0</v>
      </c>
      <c r="G23" s="96">
        <v>0</v>
      </c>
      <c r="H23" s="94"/>
    </row>
    <row r="24" spans="1:15" x14ac:dyDescent="0.25">
      <c r="B24" s="1" t="s">
        <v>66</v>
      </c>
      <c r="C24" s="94">
        <v>7.1994240460763149E-3</v>
      </c>
      <c r="D24" s="94">
        <v>3.9596832253419735E-2</v>
      </c>
      <c r="E24" s="96">
        <v>0</v>
      </c>
      <c r="F24" s="96">
        <v>0</v>
      </c>
      <c r="G24" s="96">
        <v>0</v>
      </c>
    </row>
    <row r="25" spans="1:15" x14ac:dyDescent="0.25">
      <c r="B25" s="1" t="s">
        <v>67</v>
      </c>
      <c r="C25" s="94">
        <v>7.1994240460763149E-3</v>
      </c>
      <c r="D25" s="94">
        <v>0.35637149028077758</v>
      </c>
      <c r="E25" s="96">
        <v>0</v>
      </c>
      <c r="F25" s="96">
        <v>0</v>
      </c>
      <c r="G25" s="96">
        <v>0</v>
      </c>
    </row>
    <row r="26" spans="1:15" x14ac:dyDescent="0.25">
      <c r="B26" s="1" t="s">
        <v>59</v>
      </c>
      <c r="C26" s="94">
        <v>7.1994240460763149E-3</v>
      </c>
      <c r="D26" s="94">
        <v>3.0597552195824339E-2</v>
      </c>
      <c r="E26" s="96">
        <v>0</v>
      </c>
      <c r="F26" s="96">
        <v>0</v>
      </c>
      <c r="G26" s="96">
        <v>0</v>
      </c>
    </row>
    <row r="27" spans="1:15" x14ac:dyDescent="0.25">
      <c r="B27" s="1" t="s">
        <v>68</v>
      </c>
      <c r="C27" s="94">
        <v>7.1994240460763149E-3</v>
      </c>
      <c r="D27" s="94">
        <v>3.0597552195824339E-2</v>
      </c>
      <c r="E27" s="96">
        <v>0</v>
      </c>
      <c r="F27" s="96">
        <v>0</v>
      </c>
      <c r="G27" s="96">
        <v>0</v>
      </c>
    </row>
    <row r="28" spans="1:15" x14ac:dyDescent="0.25">
      <c r="B28" s="1" t="s">
        <v>69</v>
      </c>
      <c r="C28" s="94">
        <v>1.0799136069114472E-2</v>
      </c>
      <c r="D28" s="94">
        <v>3.0597552195824339E-2</v>
      </c>
      <c r="E28" s="96">
        <v>0</v>
      </c>
      <c r="F28" s="96">
        <v>0</v>
      </c>
      <c r="G28" s="96">
        <v>0</v>
      </c>
    </row>
    <row r="29" spans="1:15" x14ac:dyDescent="0.25">
      <c r="B29" s="1" t="s">
        <v>86</v>
      </c>
      <c r="C29" s="94">
        <v>7.1994240460763149E-3</v>
      </c>
      <c r="D29" s="94">
        <v>3.9596832253419735E-2</v>
      </c>
      <c r="E29" s="96">
        <v>0</v>
      </c>
      <c r="F29" s="96">
        <v>0</v>
      </c>
      <c r="G29" s="96">
        <v>0</v>
      </c>
    </row>
    <row r="30" spans="1:15" x14ac:dyDescent="0.25">
      <c r="B30" s="1" t="s">
        <v>70</v>
      </c>
      <c r="C30" s="94">
        <v>7.1994240460763149E-3</v>
      </c>
      <c r="D30" s="94">
        <v>3.9596832253419735E-2</v>
      </c>
      <c r="E30" s="96">
        <v>0</v>
      </c>
      <c r="F30" s="96">
        <v>0</v>
      </c>
      <c r="G30" s="96">
        <v>0</v>
      </c>
    </row>
    <row r="31" spans="1:15" x14ac:dyDescent="0.25">
      <c r="A31" s="77"/>
      <c r="B31" s="77" t="s">
        <v>77</v>
      </c>
      <c r="C31" s="95">
        <v>7.1994240460763149E-3</v>
      </c>
      <c r="D31" s="95">
        <v>3.9596832253419735E-2</v>
      </c>
      <c r="E31" s="61">
        <v>0</v>
      </c>
      <c r="F31" s="61">
        <v>0</v>
      </c>
      <c r="G31" s="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showGridLines="0" workbookViewId="0">
      <selection activeCell="C24" sqref="C24"/>
    </sheetView>
  </sheetViews>
  <sheetFormatPr defaultRowHeight="11.5" x14ac:dyDescent="0.25"/>
  <cols>
    <col min="2" max="2" width="15.7265625" customWidth="1"/>
  </cols>
  <sheetData>
    <row r="1" spans="1:11" ht="19.5" x14ac:dyDescent="0.35">
      <c r="A1" s="6" t="s">
        <v>387</v>
      </c>
    </row>
    <row r="2" spans="1:11" x14ac:dyDescent="0.25">
      <c r="A2" s="5" t="s">
        <v>10</v>
      </c>
      <c r="F2" s="1"/>
    </row>
    <row r="3" spans="1:11" x14ac:dyDescent="0.25">
      <c r="B3" s="5"/>
      <c r="F3" s="1"/>
    </row>
    <row r="4" spans="1:11" x14ac:dyDescent="0.25">
      <c r="A4" s="63" t="s">
        <v>128</v>
      </c>
      <c r="B4" s="191"/>
      <c r="C4" s="192"/>
      <c r="D4" s="187"/>
      <c r="E4" s="187"/>
      <c r="F4" s="196"/>
      <c r="G4" s="191"/>
      <c r="H4" s="191"/>
      <c r="I4" s="191"/>
      <c r="J4" s="191"/>
      <c r="K4" s="197"/>
    </row>
    <row r="5" spans="1:11" x14ac:dyDescent="0.25">
      <c r="A5" s="8" t="s">
        <v>321</v>
      </c>
      <c r="C5" s="8"/>
      <c r="D5" s="8"/>
      <c r="E5" s="8"/>
      <c r="F5" s="8"/>
      <c r="G5" s="1"/>
      <c r="H5" s="1"/>
      <c r="I5" s="1"/>
      <c r="J5" s="1"/>
      <c r="K5" s="160"/>
    </row>
    <row r="6" spans="1:11" x14ac:dyDescent="0.25">
      <c r="A6" s="1" t="s">
        <v>322</v>
      </c>
      <c r="C6" s="1"/>
      <c r="D6" s="1"/>
      <c r="E6" s="1"/>
      <c r="F6" s="1"/>
      <c r="G6" s="1"/>
      <c r="H6" s="1"/>
      <c r="I6" s="1"/>
      <c r="J6" s="1"/>
      <c r="K6" s="160"/>
    </row>
    <row r="7" spans="1:11" x14ac:dyDescent="0.25">
      <c r="A7" s="1" t="s">
        <v>327</v>
      </c>
      <c r="E7" s="1"/>
      <c r="F7" s="1"/>
      <c r="G7" s="1"/>
      <c r="H7" s="1"/>
      <c r="I7" s="1"/>
      <c r="J7" s="1"/>
      <c r="K7" s="160"/>
    </row>
    <row r="8" spans="1:11" x14ac:dyDescent="0.25">
      <c r="A8" s="201" t="s">
        <v>388</v>
      </c>
      <c r="B8" s="200">
        <v>0.37</v>
      </c>
      <c r="C8" s="1"/>
      <c r="D8" s="1"/>
      <c r="E8" s="121"/>
      <c r="F8" s="1"/>
      <c r="G8" s="1"/>
      <c r="H8" s="1"/>
      <c r="I8" s="1"/>
      <c r="J8" s="1"/>
      <c r="K8" s="160"/>
    </row>
    <row r="9" spans="1:11" x14ac:dyDescent="0.25">
      <c r="A9" s="201" t="s">
        <v>312</v>
      </c>
      <c r="B9" s="200">
        <v>2.7779999999999998E-4</v>
      </c>
      <c r="C9" s="121" t="s">
        <v>249</v>
      </c>
      <c r="D9" s="121"/>
      <c r="E9" s="1"/>
      <c r="F9" s="8"/>
      <c r="G9" s="1"/>
      <c r="H9" s="1"/>
      <c r="I9" s="1"/>
      <c r="J9" s="1"/>
      <c r="K9" s="160"/>
    </row>
    <row r="10" spans="1:11" x14ac:dyDescent="0.25">
      <c r="A10" s="202" t="s">
        <v>256</v>
      </c>
      <c r="B10" s="200">
        <v>95</v>
      </c>
      <c r="C10" s="121" t="s">
        <v>313</v>
      </c>
      <c r="D10" s="121"/>
      <c r="E10" s="1"/>
      <c r="F10" s="8"/>
      <c r="G10" s="1"/>
      <c r="H10" s="1"/>
      <c r="I10" s="1"/>
      <c r="J10" s="1"/>
      <c r="K10" s="160"/>
    </row>
    <row r="11" spans="1:11" x14ac:dyDescent="0.25">
      <c r="A11" s="202"/>
      <c r="B11" s="200">
        <f>B10/10^6/B9</f>
        <v>0.34197264218862494</v>
      </c>
      <c r="C11" s="121" t="s">
        <v>314</v>
      </c>
      <c r="D11" s="121"/>
      <c r="E11" s="1"/>
      <c r="F11" s="1"/>
      <c r="G11" s="1"/>
      <c r="H11" s="1"/>
      <c r="I11" s="1"/>
      <c r="J11" s="1"/>
      <c r="K11" s="160"/>
    </row>
    <row r="12" spans="1:11" x14ac:dyDescent="0.25">
      <c r="A12" s="202"/>
      <c r="B12" s="200">
        <f>B11/B8</f>
        <v>0.92425038429358097</v>
      </c>
      <c r="C12" s="121" t="s">
        <v>315</v>
      </c>
      <c r="D12" s="121"/>
      <c r="E12" s="8"/>
      <c r="F12" s="8"/>
      <c r="G12" s="1"/>
      <c r="H12" s="1"/>
      <c r="I12" s="1"/>
      <c r="J12" s="1"/>
      <c r="K12" s="160"/>
    </row>
    <row r="13" spans="1:11" x14ac:dyDescent="0.25">
      <c r="A13" s="202" t="s">
        <v>269</v>
      </c>
      <c r="B13" s="200">
        <v>63</v>
      </c>
      <c r="C13" s="121" t="s">
        <v>313</v>
      </c>
      <c r="D13" s="99"/>
      <c r="E13" s="8"/>
      <c r="F13" s="8"/>
      <c r="G13" s="1"/>
      <c r="H13" s="1"/>
      <c r="I13" s="1"/>
      <c r="J13" s="1"/>
      <c r="K13" s="160"/>
    </row>
    <row r="14" spans="1:11" x14ac:dyDescent="0.25">
      <c r="A14" s="202"/>
      <c r="B14" s="200">
        <f>B13/10^6/B9</f>
        <v>0.22678185745140392</v>
      </c>
      <c r="C14" s="121" t="s">
        <v>314</v>
      </c>
      <c r="D14" s="1"/>
      <c r="E14" s="8"/>
      <c r="F14" s="8"/>
      <c r="G14" s="1"/>
      <c r="H14" s="1"/>
      <c r="I14" s="1"/>
      <c r="J14" s="1"/>
      <c r="K14" s="160"/>
    </row>
    <row r="15" spans="1:11" x14ac:dyDescent="0.25">
      <c r="A15" s="202"/>
      <c r="B15" s="200">
        <f>B14/B8</f>
        <v>0.61292393905784848</v>
      </c>
      <c r="C15" s="121" t="s">
        <v>315</v>
      </c>
      <c r="D15" s="1"/>
      <c r="E15" s="8"/>
      <c r="F15" s="8"/>
      <c r="G15" s="1"/>
      <c r="H15" s="1"/>
      <c r="I15" s="1"/>
      <c r="J15" s="1"/>
      <c r="K15" s="160"/>
    </row>
    <row r="16" spans="1:11" x14ac:dyDescent="0.25">
      <c r="A16" s="189"/>
      <c r="C16" s="1"/>
      <c r="D16" s="1"/>
      <c r="E16" s="8"/>
      <c r="F16" s="8"/>
      <c r="G16" s="1"/>
      <c r="H16" s="1"/>
      <c r="I16" s="1"/>
      <c r="J16" s="1"/>
      <c r="K16" s="160"/>
    </row>
    <row r="17" spans="1:11" x14ac:dyDescent="0.25">
      <c r="A17" s="56"/>
      <c r="B17" s="8"/>
      <c r="C17" s="8"/>
      <c r="D17" s="8"/>
      <c r="E17" s="8"/>
      <c r="F17" s="8"/>
      <c r="G17" s="1"/>
      <c r="H17" s="1"/>
      <c r="I17" s="1"/>
      <c r="J17" s="1"/>
      <c r="K17" s="160"/>
    </row>
    <row r="18" spans="1:11" x14ac:dyDescent="0.25">
      <c r="A18" s="195"/>
      <c r="B18" s="190"/>
      <c r="C18" s="190"/>
      <c r="D18" s="190"/>
      <c r="E18" s="190"/>
      <c r="F18" s="156"/>
      <c r="G18" s="198"/>
      <c r="H18" s="198"/>
      <c r="I18" s="198"/>
      <c r="J18" s="198"/>
      <c r="K18" s="199"/>
    </row>
    <row r="19" spans="1:11" x14ac:dyDescent="0.25">
      <c r="F19" s="1"/>
    </row>
    <row r="20" spans="1:11" ht="25.5" customHeight="1" x14ac:dyDescent="0.25">
      <c r="B20" s="9" t="s">
        <v>389</v>
      </c>
    </row>
    <row r="21" spans="1:11" x14ac:dyDescent="0.25">
      <c r="B21" s="8" t="s">
        <v>390</v>
      </c>
      <c r="C21" s="8"/>
      <c r="D21" s="8"/>
      <c r="E21" s="8"/>
      <c r="F21" s="8"/>
      <c r="G21" s="8"/>
    </row>
    <row r="22" spans="1:11" x14ac:dyDescent="0.25">
      <c r="A22" s="7" t="s">
        <v>11</v>
      </c>
      <c r="B22" s="8" t="s">
        <v>311</v>
      </c>
      <c r="C22" s="8"/>
      <c r="D22" s="8"/>
      <c r="E22" s="8"/>
      <c r="F22" s="8"/>
      <c r="G22" s="8"/>
    </row>
    <row r="23" spans="1:11" x14ac:dyDescent="0.25">
      <c r="A23" s="1" t="s">
        <v>256</v>
      </c>
      <c r="B23" s="8">
        <f>B11/1000</f>
        <v>3.4197264218862493E-4</v>
      </c>
      <c r="C23" s="89"/>
      <c r="D23" s="89"/>
      <c r="E23" s="16"/>
      <c r="F23" s="16"/>
      <c r="G23" s="8"/>
    </row>
    <row r="24" spans="1:11" x14ac:dyDescent="0.25">
      <c r="A24" s="1" t="s">
        <v>269</v>
      </c>
      <c r="B24" s="8">
        <f>B14/1000</f>
        <v>2.2678185745140392E-4</v>
      </c>
      <c r="C24" s="89"/>
      <c r="D24" s="89"/>
      <c r="E24" s="16"/>
      <c r="F24" s="16"/>
      <c r="G24" s="8"/>
    </row>
    <row r="25" spans="1:11" x14ac:dyDescent="0.25">
      <c r="A25" s="1" t="s">
        <v>272</v>
      </c>
      <c r="B25" s="8">
        <f>0.024/1000</f>
        <v>2.4000000000000001E-5</v>
      </c>
      <c r="C25" s="8"/>
      <c r="D25" s="8"/>
      <c r="E25" s="8"/>
      <c r="F25" s="8"/>
      <c r="G25" s="8"/>
    </row>
    <row r="26" spans="1:11" x14ac:dyDescent="0.25">
      <c r="A26" s="1" t="s">
        <v>265</v>
      </c>
      <c r="B26" s="8">
        <f>0.035/1000</f>
        <v>3.5000000000000004E-5</v>
      </c>
      <c r="C26" s="8"/>
      <c r="D26" s="8"/>
      <c r="E26" s="8"/>
      <c r="F26" s="8"/>
      <c r="G26" s="8"/>
    </row>
    <row r="27" spans="1:11" x14ac:dyDescent="0.25">
      <c r="A27" s="8" t="s">
        <v>507</v>
      </c>
      <c r="B27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PowerPlant</vt:lpstr>
      <vt:lpstr>PowerPlantCap</vt:lpstr>
      <vt:lpstr>Hydropower</vt:lpstr>
      <vt:lpstr>PowerMarkets</vt:lpstr>
      <vt:lpstr>GenericTechnologies</vt:lpstr>
      <vt:lpstr>GenTechCAPEX</vt:lpstr>
      <vt:lpstr>Fuels</vt:lpstr>
      <vt:lpstr>FuelCO2</vt:lpstr>
      <vt:lpstr>CO2Price</vt:lpstr>
      <vt:lpstr>EnergyDemand</vt:lpstr>
      <vt:lpstr>EnergyValue</vt:lpstr>
      <vt:lpstr>EnergyTransmission</vt:lpstr>
      <vt:lpstr>PowerLoads</vt:lpstr>
      <vt:lpstr>LoadCapacity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2017-11-14T14:08:41Z</dcterms:created>
  <dcterms:modified xsi:type="dcterms:W3CDTF">2021-01-04T08:19:00Z</dcterms:modified>
</cp:coreProperties>
</file>