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raphael_leitao_edu_pucrs_br/Documents/Python/Aplicativo de Acompanhamento de Medições/Acomp-de-Medicoes/"/>
    </mc:Choice>
  </mc:AlternateContent>
  <xr:revisionPtr revIDLastSave="203" documentId="13_ncr:1_{A1421A19-0108-4133-B863-EAC0C5A9202F}" xr6:coauthVersionLast="47" xr6:coauthVersionMax="47" xr10:uidLastSave="{1C26CD04-14F0-4D41-831F-0E4B25E2F75E}"/>
  <bookViews>
    <workbookView xWindow="-108" yWindow="-108" windowWidth="23256" windowHeight="12456" tabRatio="604" activeTab="3" xr2:uid="{00000000-000D-0000-FFFF-FFFF00000000}"/>
  </bookViews>
  <sheets>
    <sheet name="RESUMO-2024" sheetId="11" r:id="rId1"/>
    <sheet name="RESUMO-2025" sheetId="17" r:id="rId2"/>
    <sheet name="Recebimentos" sheetId="18" r:id="rId3"/>
    <sheet name="Contratos" sheetId="19" r:id="rId4"/>
    <sheet name="Planilha3" sheetId="16" state="hidden" r:id="rId5"/>
    <sheet name="Planilha2" sheetId="15" state="hidden" r:id="rId6"/>
    <sheet name="Planilha1" sheetId="13" state="hidden" r:id="rId7"/>
    <sheet name="Planilha1 (2)" sheetId="14" state="hidden" r:id="rId8"/>
    <sheet name="RESUMO-2022" sheetId="1" state="hidden" r:id="rId9"/>
    <sheet name="empenhos" sheetId="12" state="hidden" r:id="rId10"/>
    <sheet name="10-2022" sheetId="9" state="hidden" r:id="rId11"/>
    <sheet name="11-2022" sheetId="10" state="hidden" r:id="rId12"/>
    <sheet name="030.018" sheetId="2" state="hidden" r:id="rId13"/>
    <sheet name="030.021" sheetId="3" state="hidden" r:id="rId14"/>
    <sheet name="030.022" sheetId="4" state="hidden" r:id="rId15"/>
    <sheet name="030.023" sheetId="5" state="hidden" r:id="rId16"/>
    <sheet name="030.024" sheetId="6" state="hidden" r:id="rId17"/>
    <sheet name="120.1025" sheetId="7" state="hidden" r:id="rId18"/>
  </sheets>
  <definedNames>
    <definedName name="_xlnm._FilterDatabase" localSheetId="10" hidden="1">'10-2022'!$A$6:$M$13</definedName>
    <definedName name="_xlnm._FilterDatabase" localSheetId="11" hidden="1">'11-2022'!$A$6:$M$13</definedName>
    <definedName name="_xlnm._FilterDatabase" localSheetId="8" hidden="1">'RESUMO-2022'!$A$6:$Q$13</definedName>
    <definedName name="_xlnm._FilterDatabase" localSheetId="0" hidden="1">'RESUMO-2024'!$A$5:$BB$37</definedName>
    <definedName name="_xlnm._FilterDatabase" localSheetId="1" hidden="1">'RESUMO-2025'!$A$5:$BC$30</definedName>
    <definedName name="_xlnm.Print_Area" localSheetId="0">'RESUMO-2024'!$A$1:$BB$32</definedName>
    <definedName name="_xlnm.Print_Area" localSheetId="1">'RESUMO-2025'!$A$1:$BC$25</definedName>
    <definedName name="_xlnm.Print_Titles" localSheetId="0">'RESUMO-2024'!$1:$5</definedName>
    <definedName name="_xlnm.Print_Titles" localSheetId="1">'RESUMO-2025'!$1:$5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2" i="17" l="1"/>
  <c r="BD21" i="17"/>
  <c r="BD20" i="17"/>
  <c r="BD18" i="17"/>
  <c r="BD17" i="17"/>
  <c r="BD16" i="17"/>
  <c r="BD15" i="17"/>
  <c r="BD14" i="17"/>
  <c r="BD13" i="17"/>
  <c r="BD12" i="17"/>
  <c r="BD11" i="17"/>
  <c r="BD10" i="17"/>
  <c r="BD8" i="17"/>
  <c r="BC24" i="17" l="1"/>
  <c r="BC23" i="17"/>
  <c r="BC22" i="17"/>
  <c r="BC21" i="17"/>
  <c r="BC20" i="17"/>
  <c r="BC19" i="17"/>
  <c r="BC18" i="17"/>
  <c r="BB23" i="17"/>
  <c r="BB24" i="17"/>
  <c r="BB22" i="17"/>
  <c r="BB21" i="17"/>
  <c r="BB20" i="17"/>
  <c r="BB19" i="17"/>
  <c r="BB18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U25" i="17"/>
  <c r="T25" i="17"/>
  <c r="BD25" i="17" l="1"/>
  <c r="S15" i="17"/>
  <c r="S25" i="17" s="1"/>
  <c r="P11" i="17"/>
  <c r="P25" i="17" s="1"/>
  <c r="I25" i="17"/>
  <c r="J25" i="17"/>
  <c r="M25" i="17"/>
  <c r="Q25" i="17"/>
  <c r="V6" i="17" l="1"/>
  <c r="V25" i="17" s="1"/>
  <c r="O17" i="17"/>
  <c r="O25" i="17" s="1"/>
  <c r="R6" i="17" l="1"/>
  <c r="R25" i="17" s="1"/>
  <c r="L17" i="17" l="1"/>
  <c r="L25" i="17" s="1"/>
  <c r="H17" i="17"/>
  <c r="H25" i="17" s="1"/>
  <c r="BC7" i="17"/>
  <c r="BB7" i="17"/>
  <c r="BB9" i="17"/>
  <c r="BB17" i="17"/>
  <c r="BB16" i="17"/>
  <c r="BB14" i="17"/>
  <c r="BB13" i="17"/>
  <c r="BB12" i="17"/>
  <c r="BB11" i="17"/>
  <c r="BB10" i="17"/>
  <c r="BB8" i="17"/>
  <c r="N6" i="17"/>
  <c r="K17" i="17"/>
  <c r="K25" i="17" s="1"/>
  <c r="G17" i="17"/>
  <c r="G25" i="17" s="1"/>
  <c r="F15" i="17"/>
  <c r="BB6" i="17" l="1"/>
  <c r="N25" i="17"/>
  <c r="BB15" i="17"/>
  <c r="F25" i="17"/>
  <c r="BC9" i="17"/>
  <c r="AZ28" i="11"/>
  <c r="AY28" i="11"/>
  <c r="BB25" i="17" l="1"/>
  <c r="BC17" i="17"/>
  <c r="BC15" i="17"/>
  <c r="BC12" i="17"/>
  <c r="BC11" i="17"/>
  <c r="BC10" i="17"/>
  <c r="BC8" i="17"/>
  <c r="BC6" i="17"/>
  <c r="B2" i="17"/>
  <c r="H11" i="16"/>
  <c r="AJ27" i="11"/>
  <c r="BC16" i="17" l="1"/>
  <c r="BC14" i="17"/>
  <c r="BC13" i="17"/>
  <c r="BB6" i="11"/>
  <c r="BB7" i="11"/>
  <c r="BB8" i="11"/>
  <c r="BB9" i="11"/>
  <c r="BB10" i="11"/>
  <c r="BB11" i="11"/>
  <c r="BB12" i="11"/>
  <c r="BB13" i="11"/>
  <c r="BB14" i="11"/>
  <c r="BB16" i="11"/>
  <c r="BB18" i="11"/>
  <c r="BB19" i="11"/>
  <c r="BB20" i="11"/>
  <c r="BB23" i="11"/>
  <c r="BB24" i="11"/>
  <c r="BB28" i="11"/>
  <c r="BB29" i="11"/>
  <c r="BB30" i="11"/>
  <c r="BB31" i="11"/>
  <c r="BA32" i="11"/>
  <c r="AZ32" i="11"/>
  <c r="AY32" i="11"/>
  <c r="AX32" i="11"/>
  <c r="AW32" i="11"/>
  <c r="AV32" i="11"/>
  <c r="AU32" i="11"/>
  <c r="AT32" i="11"/>
  <c r="AS32" i="11"/>
  <c r="AR32" i="11"/>
  <c r="AQ32" i="11"/>
  <c r="AO32" i="11"/>
  <c r="AN32" i="11"/>
  <c r="AG32" i="11"/>
  <c r="AF32" i="11"/>
  <c r="AD32" i="11"/>
  <c r="AC32" i="11"/>
  <c r="Y32" i="11"/>
  <c r="U32" i="11"/>
  <c r="T32" i="11"/>
  <c r="Q32" i="11"/>
  <c r="M32" i="11"/>
  <c r="L32" i="11"/>
  <c r="K32" i="11"/>
  <c r="I32" i="11"/>
  <c r="H32" i="11"/>
  <c r="G32" i="11"/>
  <c r="BC25" i="17" l="1"/>
  <c r="AP8" i="11"/>
  <c r="AM21" i="11"/>
  <c r="G15" i="14"/>
  <c r="F15" i="14"/>
  <c r="E15" i="14"/>
  <c r="D15" i="14"/>
  <c r="C15" i="14"/>
  <c r="B15" i="14"/>
  <c r="K34" i="13"/>
  <c r="J34" i="13"/>
  <c r="I34" i="13"/>
  <c r="H34" i="13"/>
  <c r="L34" i="13"/>
  <c r="M34" i="13"/>
  <c r="L2" i="13"/>
  <c r="L3" i="13"/>
  <c r="L4" i="13"/>
  <c r="L13" i="13"/>
  <c r="L14" i="13"/>
  <c r="AP32" i="11" l="1"/>
  <c r="L12" i="13" s="1"/>
  <c r="AM32" i="11"/>
  <c r="L11" i="13" s="1"/>
  <c r="AL8" i="11"/>
  <c r="AL32" i="11" s="1"/>
  <c r="B2" i="11"/>
  <c r="AE22" i="11"/>
  <c r="W22" i="11"/>
  <c r="W21" i="11"/>
  <c r="S22" i="11"/>
  <c r="R21" i="11"/>
  <c r="S21" i="11" s="1"/>
  <c r="AE32" i="11" l="1"/>
  <c r="L9" i="13" s="1"/>
  <c r="S32" i="11"/>
  <c r="L6" i="13" s="1"/>
  <c r="P21" i="11"/>
  <c r="P32" i="11" s="1"/>
  <c r="O22" i="11"/>
  <c r="BB22" i="11" s="1"/>
  <c r="N21" i="11"/>
  <c r="AH8" i="11" l="1"/>
  <c r="AJ29" i="11" l="1"/>
  <c r="AJ32" i="11" s="1"/>
  <c r="AK32" i="11"/>
  <c r="AI27" i="11"/>
  <c r="AI32" i="11" l="1"/>
  <c r="L10" i="13" s="1"/>
  <c r="BB27" i="11"/>
  <c r="AH27" i="11"/>
  <c r="AH32" i="11" s="1"/>
  <c r="AB10" i="11" l="1"/>
  <c r="AB32" i="11" s="1"/>
  <c r="Z7" i="11" l="1"/>
  <c r="Z6" i="11"/>
  <c r="Z32" i="11" l="1"/>
  <c r="W17" i="11"/>
  <c r="BB17" i="11" l="1"/>
  <c r="AA26" i="11"/>
  <c r="X15" i="11"/>
  <c r="X32" i="11" s="1"/>
  <c r="W15" i="11"/>
  <c r="BB15" i="11" s="1"/>
  <c r="AA32" i="11" l="1"/>
  <c r="L8" i="13" s="1"/>
  <c r="BB26" i="11"/>
  <c r="O21" i="11"/>
  <c r="BB21" i="11" s="1"/>
  <c r="O32" i="11" l="1"/>
  <c r="L5" i="13" s="1"/>
  <c r="W25" i="11"/>
  <c r="V25" i="11"/>
  <c r="V8" i="11"/>
  <c r="V32" i="11" l="1"/>
  <c r="BB25" i="11"/>
  <c r="BB32" i="11" s="1"/>
  <c r="W32" i="11"/>
  <c r="L7" i="13" s="1"/>
  <c r="L15" i="13" s="1"/>
  <c r="R6" i="11"/>
  <c r="R8" i="11" l="1"/>
  <c r="R32" i="11" s="1"/>
  <c r="N7" i="11" l="1"/>
  <c r="N32" i="11" s="1"/>
  <c r="J6" i="11" l="1"/>
  <c r="J32" i="11" s="1"/>
  <c r="F8" i="11" l="1"/>
  <c r="F32" i="11" s="1"/>
  <c r="Q14" i="1" l="1"/>
  <c r="Q7" i="1" l="1"/>
  <c r="O15" i="1"/>
  <c r="N15" i="1"/>
  <c r="M15" i="1"/>
  <c r="L15" i="1"/>
  <c r="K15" i="1"/>
  <c r="J15" i="1"/>
  <c r="I15" i="1"/>
  <c r="H15" i="1"/>
  <c r="G15" i="1"/>
  <c r="F15" i="1"/>
  <c r="E15" i="1"/>
  <c r="C18" i="1"/>
  <c r="D10" i="1" l="1"/>
  <c r="P15" i="1"/>
  <c r="C17" i="1" s="1"/>
  <c r="E12" i="10" l="1"/>
  <c r="E11" i="10"/>
  <c r="E10" i="10"/>
  <c r="E9" i="10"/>
  <c r="E8" i="10"/>
  <c r="E7" i="10"/>
  <c r="D8" i="10"/>
  <c r="D9" i="10" s="1"/>
  <c r="D10" i="10" s="1"/>
  <c r="D11" i="10" s="1"/>
  <c r="D12" i="10" s="1"/>
  <c r="D13" i="10" s="1"/>
  <c r="E14" i="9"/>
  <c r="E14" i="10" l="1"/>
  <c r="D13" i="1"/>
  <c r="Q13" i="1" s="1"/>
  <c r="D9" i="1" l="1"/>
  <c r="Q9" i="1" s="1"/>
  <c r="D8" i="1"/>
  <c r="Q8" i="1" s="1"/>
  <c r="D11" i="1"/>
  <c r="D12" i="1"/>
  <c r="Q10" i="1" l="1"/>
  <c r="D15" i="1" l="1"/>
  <c r="Q6" i="6"/>
  <c r="D6" i="6"/>
  <c r="C11" i="5"/>
  <c r="D7" i="5"/>
  <c r="Q7" i="5" s="1"/>
  <c r="D6" i="5"/>
  <c r="Q6" i="5" s="1"/>
  <c r="D6" i="4"/>
  <c r="Q6" i="4" s="1"/>
  <c r="D7" i="3"/>
  <c r="Q7" i="3" s="1"/>
  <c r="D6" i="3"/>
  <c r="Q6" i="3" s="1"/>
  <c r="Q6" i="2"/>
  <c r="Q6" i="7" l="1"/>
  <c r="P7" i="7"/>
  <c r="O7" i="7"/>
  <c r="N7" i="7"/>
  <c r="M7" i="7"/>
  <c r="L7" i="7"/>
  <c r="K7" i="7"/>
  <c r="J7" i="7"/>
  <c r="C11" i="7" s="1"/>
  <c r="I7" i="7"/>
  <c r="C10" i="7" s="1"/>
  <c r="H7" i="7"/>
  <c r="G7" i="7"/>
  <c r="F7" i="7"/>
  <c r="E7" i="7"/>
  <c r="D7" i="7"/>
  <c r="P7" i="6"/>
  <c r="O7" i="6"/>
  <c r="N7" i="6"/>
  <c r="M7" i="6"/>
  <c r="L7" i="6"/>
  <c r="K7" i="6"/>
  <c r="C11" i="6" s="1"/>
  <c r="J7" i="6"/>
  <c r="C10" i="6" s="1"/>
  <c r="I7" i="6"/>
  <c r="H7" i="6"/>
  <c r="G7" i="6"/>
  <c r="F7" i="6"/>
  <c r="E7" i="6"/>
  <c r="D7" i="6"/>
  <c r="I8" i="5"/>
  <c r="Q8" i="5"/>
  <c r="P8" i="5"/>
  <c r="O8" i="5"/>
  <c r="N8" i="5"/>
  <c r="M8" i="5"/>
  <c r="L8" i="5"/>
  <c r="K8" i="5"/>
  <c r="C12" i="5" s="1"/>
  <c r="J8" i="5"/>
  <c r="H8" i="5"/>
  <c r="G8" i="5"/>
  <c r="F8" i="5"/>
  <c r="E8" i="5"/>
  <c r="C10" i="5" l="1"/>
  <c r="C13" i="5"/>
  <c r="C9" i="6"/>
  <c r="C12" i="6"/>
  <c r="D8" i="5"/>
  <c r="C9" i="7"/>
  <c r="Q7" i="7"/>
  <c r="Q7" i="6"/>
  <c r="Q7" i="4"/>
  <c r="P7" i="4"/>
  <c r="O7" i="4"/>
  <c r="N7" i="4"/>
  <c r="M7" i="4"/>
  <c r="L7" i="4"/>
  <c r="C12" i="4" s="1"/>
  <c r="K7" i="4"/>
  <c r="C11" i="4" s="1"/>
  <c r="J7" i="4"/>
  <c r="C10" i="4" s="1"/>
  <c r="I7" i="4"/>
  <c r="H7" i="4"/>
  <c r="G7" i="4"/>
  <c r="F7" i="4"/>
  <c r="E7" i="4"/>
  <c r="C9" i="4" s="1"/>
  <c r="D7" i="4"/>
  <c r="J8" i="3" l="1"/>
  <c r="C11" i="3" s="1"/>
  <c r="K8" i="3"/>
  <c r="L8" i="3"/>
  <c r="M8" i="3"/>
  <c r="N8" i="3"/>
  <c r="O8" i="3"/>
  <c r="P8" i="3"/>
  <c r="I8" i="3"/>
  <c r="H8" i="3"/>
  <c r="G8" i="3"/>
  <c r="F8" i="3"/>
  <c r="E8" i="3"/>
  <c r="C10" i="3" s="1"/>
  <c r="Q8" i="3"/>
  <c r="C12" i="3" l="1"/>
  <c r="D8" i="3"/>
  <c r="P7" i="2"/>
  <c r="O7" i="2"/>
  <c r="N7" i="2"/>
  <c r="M7" i="2"/>
  <c r="L7" i="2"/>
  <c r="C12" i="2" s="1"/>
  <c r="K7" i="2"/>
  <c r="J7" i="2"/>
  <c r="C11" i="2" s="1"/>
  <c r="I7" i="2"/>
  <c r="H7" i="2"/>
  <c r="G7" i="2"/>
  <c r="F7" i="2"/>
  <c r="E7" i="2"/>
  <c r="D7" i="2"/>
  <c r="Q7" i="2"/>
  <c r="C9" i="2" l="1"/>
  <c r="Q12" i="1" l="1"/>
  <c r="Q11" i="1"/>
  <c r="Q15" i="1" l="1"/>
</calcChain>
</file>

<file path=xl/sharedStrings.xml><?xml version="1.0" encoding="utf-8"?>
<sst xmlns="http://schemas.openxmlformats.org/spreadsheetml/2006/main" count="1405" uniqueCount="316">
  <si>
    <t xml:space="preserve"> DNIT - Maranhão - CT Nº UT-15.00836.2020</t>
  </si>
  <si>
    <t>DNIT - Rondônia-2021</t>
  </si>
  <si>
    <t>PATO DNIT - MA CT 15-2021</t>
  </si>
  <si>
    <t>Natoniel / Mariana</t>
  </si>
  <si>
    <t>Natoniel / Edcleydson</t>
  </si>
  <si>
    <t>DNIT - Acre - CT.265 - Lote 01</t>
  </si>
  <si>
    <t>DNIT - Acre - CT.266 - Lote 02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</si>
  <si>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</si>
  <si>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</si>
  <si>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</si>
  <si>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</si>
  <si>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</si>
  <si>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</si>
  <si>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</si>
  <si>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</si>
  <si>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</si>
  <si>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</si>
  <si>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</si>
  <si>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</si>
  <si>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DNIT - Mato Grosso do Sul - CT.622 - Lote 02</t>
  </si>
  <si>
    <t>DNIT - Mato Grosso do Sul - CT.624 - Lote 06</t>
  </si>
  <si>
    <t>Empenho Disponivel - no momento</t>
  </si>
  <si>
    <t>MEDIÇÕES IMPLANTADAS</t>
  </si>
  <si>
    <t>MEDIÇÕES EM ANDAMENTO</t>
  </si>
  <si>
    <t>Centro de Custo</t>
  </si>
  <si>
    <t>Obra</t>
  </si>
  <si>
    <t>Gestão</t>
  </si>
  <si>
    <t>Natoniel / Fabiano</t>
  </si>
  <si>
    <t>ACOMPANHAMENTO DE MEDIÇÕES - 2022</t>
  </si>
  <si>
    <t>Empenho Disponivel   2022</t>
  </si>
  <si>
    <t>Prefeitura Municipal Pimenta Bueno</t>
  </si>
  <si>
    <t>Natoniel / Paulo Hen.</t>
  </si>
  <si>
    <t xml:space="preserve">1ª - </t>
  </si>
  <si>
    <t>ROBSON VIAJANDO 18/06/2022 REALIZAR A IMPLANTAÇÃO DE + OU - 100 UNIDADES DE PLACAS QUE ESTÃO NO DEPÓSITO EM CAXIAS MA - PREVISÃO DE FATURAMENTO COM ESTOQUE EXISTENTE É DE R$ 50.000,00</t>
  </si>
  <si>
    <t xml:space="preserve">2ª - </t>
  </si>
  <si>
    <t xml:space="preserve">3ª - </t>
  </si>
  <si>
    <t>ORDEM DE SERVIÇO ENCAMINHADO PELA FISCALIZAÇÃO - 15/06/2022 - AS ÁREAS PREVISTA NA O.S ESTÁ LEVANDO EM CONSIDERAÇÃO O EIXO SENDO TODO DUPLO CONTÍNUO, PROVAVELMENTE A REALIDADE É BEM MENOR.</t>
  </si>
  <si>
    <t>TINTA BASE ÁGUA AMARELO</t>
  </si>
  <si>
    <t>NECESSÁRIO ADQUIRIR E MOBILIZAR PARA REALIZAÇÃO DA O.S. - (SINALIZAÇÃO DE 50,60 Km - EIXO E BORDO) - ÁREA ESTIMADA DE PINTURA = 26.000m²</t>
  </si>
  <si>
    <t>282 unidades</t>
  </si>
  <si>
    <t>TINTA BASE ÁGUA BRANCO</t>
  </si>
  <si>
    <t>393 unidades</t>
  </si>
  <si>
    <t>MICROESFERA DO</t>
  </si>
  <si>
    <t>MICROESFERA PREMIX</t>
  </si>
  <si>
    <t>365 sacos</t>
  </si>
  <si>
    <t>107 sacos</t>
  </si>
  <si>
    <t>EQUIPE COMPLETA COM EQUIPAMENTO DE PINTURA A FRIO</t>
  </si>
  <si>
    <t>1 unidade</t>
  </si>
  <si>
    <t xml:space="preserve">4ª - </t>
  </si>
  <si>
    <t>PREVISÃO DE FATURAMENTO PARA ESTA DEMANDA - R$ 350.000,00</t>
  </si>
  <si>
    <t xml:space="preserve">FATURAMENTO PREVISTO - INSUMOS NA CASA </t>
  </si>
  <si>
    <t>FATURAMENTO PREVISTO - ADQUIRIR INSUMOS</t>
  </si>
  <si>
    <t xml:space="preserve">5ª - </t>
  </si>
  <si>
    <t>CONTRATO FICARÁ COM UM SALDO APROXIMADO DE EMPENHO DE R$ 1.100.0000 ; NECESSÁRIO TRABALHAR COM A FISCALIZAÇÃO PARA SURGIR OUTRAS DEMANDAS QUE CONSUMAM O SALDO DO EMPENHO</t>
  </si>
  <si>
    <t>ESTAMOS REALIZANDO A SINALIZAÇÃO HORIZONTAL DOS DOIS LOTES - PREVISÃO PARA CONCLUSÃO DE + OU - 15 DIAS TRABALHADOS</t>
  </si>
  <si>
    <t>QUANDO ACABAR A PINTURA DO LOTE 1 - REALIZAR UMA MANUTENÇÃO MINUCIOSA NO EQUIPAMENTO DA SN - COMPRESSOR SEMPRE APRESENTANDO PROBLEMAS</t>
  </si>
  <si>
    <t>TODOS INSUMOS PARA FATURAMENTO DO EMPENHO FORAM ADQUIRIDOS</t>
  </si>
  <si>
    <t>LOTE - 1</t>
  </si>
  <si>
    <t>32.000m²</t>
  </si>
  <si>
    <t>100 und</t>
  </si>
  <si>
    <t>PINTURA BASE ÁGUA -</t>
  </si>
  <si>
    <t>BALIZADORES -</t>
  </si>
  <si>
    <t xml:space="preserve">PLACAS - </t>
  </si>
  <si>
    <t>480m²</t>
  </si>
  <si>
    <t>200 und</t>
  </si>
  <si>
    <t xml:space="preserve">POSTES MADEIRA - </t>
  </si>
  <si>
    <t>525 und</t>
  </si>
  <si>
    <t>DEFENSA METÁLICA -</t>
  </si>
  <si>
    <t>300m</t>
  </si>
  <si>
    <t>LOTE - 2</t>
  </si>
  <si>
    <t>31.000m²</t>
  </si>
  <si>
    <t>TACHAS -</t>
  </si>
  <si>
    <t>12.000 und</t>
  </si>
  <si>
    <t>4.000 und</t>
  </si>
  <si>
    <t>60 und</t>
  </si>
  <si>
    <t>450m²</t>
  </si>
  <si>
    <t>320 und</t>
  </si>
  <si>
    <t>320m</t>
  </si>
  <si>
    <t>ORDEM DE SERVIÇO ENCAMINHADA PELA FISCALIZAÇÃO PARA CONSUMO DOS EMPENHOS</t>
  </si>
  <si>
    <t>POSTES POLIM. -</t>
  </si>
  <si>
    <t xml:space="preserve">6ª - </t>
  </si>
  <si>
    <t>IMPORTANTE PONTUALIZAR  - OS FATURAMENTOS RELACIONADOS A SINALIZAÇÃO VERTICAL ESTÃO ATRELADO AO ANDAMANTO E IMPLANTAÇÃO DA ADEQUAÇÃO NO SISTEMA DO DNIT (PLACAS ; POSTES POLIMÉRICOS E POSTES DE MADEIRA) - VALORES ESTIMADOS DE FATURAMENTO DE R$ 600.000,00 PARA O LOTE-1 E R$ 560.000,OO PARA O LOTE 2</t>
  </si>
  <si>
    <t>SERVIÇOS REALIZADO ATÉ 17/06/2022</t>
  </si>
  <si>
    <t>12.000m²</t>
  </si>
  <si>
    <t>-</t>
  </si>
  <si>
    <t>14.700m²</t>
  </si>
  <si>
    <t xml:space="preserve">7ª - </t>
  </si>
  <si>
    <t xml:space="preserve">8ª - </t>
  </si>
  <si>
    <t>TEMOS DUAS EQUIPES REALIZANDO AS MANUTENÇÕES - ALDENOR E GIVANILDO</t>
  </si>
  <si>
    <t>400m²</t>
  </si>
  <si>
    <t>EXTRUDADO -</t>
  </si>
  <si>
    <t>100m²</t>
  </si>
  <si>
    <t>SITUAÇÕES A SEREM TRATADAS PARA O BOM ANDAMENTO  DOS SERVIÇOS</t>
  </si>
  <si>
    <t>CONCERTO CAMINHÃO BATE ESTACA DA TRIGONAL</t>
  </si>
  <si>
    <t>PRESTADOR DE SERVIÇO DE IMPLANTAÇÃO DE PLACAS E TACHAS AINDA NÃO COMECOU - DIFICULDADE DE SE ESTRUTURAR (FALTANDO CAMINHÃO)</t>
  </si>
  <si>
    <t xml:space="preserve">9ª - </t>
  </si>
  <si>
    <t>PARA DEMAIS FATURAMENTO, DEVERÁ SER APORTADOS MAIS EMPENHOS, PARA SEREM UTILIZADOS EM OUTRAS DEMANDAS QUE NÃO SEJA SINALIZAÇÃO HORIZONTAL.</t>
  </si>
  <si>
    <t>NÓS TEREMOS QUE IMPLANTAR 1.168 DOS QUAIS ESTÃO NA OBRA 413 UNIDADE DE PLACAS (LAYOUT-413) E FALTANDO CHEGAR 697 UNIDADES DE PLACAS (LAYOUT-414) FINALIZANDO A IMPRESSÃO PARA ENVIAR PARA TRIGONAL - NECESSIDADE DE IMEDIATO DE NO MINÍMO DUAS EQUIPES DE PLACAS</t>
  </si>
  <si>
    <t>ORDEM DE SERVIÇO ENCAMINHADO PELA FISCALIZAÇÃO -ÁREAS PREVISTA NA O.S PARA EXECUÇÃO DA SINALIZAÇÃO HORIZONTAL</t>
  </si>
  <si>
    <t>PREVISÃO DE FATURAMENTO DESTA O.S - R$ 2.300.000,00</t>
  </si>
  <si>
    <t>ATÉ O MOMENTO EFETUAMOS A 1ª AQUISIÇÃO, DEVIDOS AS INTERCORRÊNCIAS OCASIONADAS NO EQUIPAMENTO HIDROCOBRA NÃO CONSEGUIMOS PREFORMAR O QUE FOI PLANEJADO</t>
  </si>
  <si>
    <t>PLANEJAMENTO DE AQUISIÇÃO DE INSUMOS PARA EXECUÇÃO DA O.S</t>
  </si>
  <si>
    <t>NECESSÁRIO IMPLANTAR 163 UNIDADES DE PLACAS (LAYOUT - 440) - NO MOMENTO AGUARDANDO AS PELÍCULAS CHEGAREM PARA IMPRESSÃO, EM SEGUIDA SERÁ ENCAMINHADA PARA TRIGONAL MONTAR E TRANSPORTAR PARA ARIQUEMES JUNTO COM A DEMANDA DE RIO BRANCO</t>
  </si>
  <si>
    <t>NECESSIDADE DE 2 EQUIPAMENTOS DE PINTURA DEMANDA ALTA DE SINALIZAÇÃO (103.000,00m² DE PINTURA)</t>
  </si>
  <si>
    <t>ASSIM QUE TIVER PREVISÃO DE ENTREGA DAS PLACAS - MOBILIZAR 1 EQUIPE DE PLACAS</t>
  </si>
  <si>
    <t>VERIFICAR COM QUAL ESTRUTURA IREMOS ATENDER A DEMANDA DO EXTRUDADO</t>
  </si>
  <si>
    <t>Faltando o layout  414 - (697 unidades de placas) - no momento está na impressão</t>
  </si>
  <si>
    <t>ESTAMOS REALIZANDO A SINALIZAÇÃO VERTICAL DOS DOIS LOTES - DIFICULDADE ENORME DE ENCONTRAR AUXILIAR DE SINALIZAÇÃO</t>
  </si>
  <si>
    <t>EQUIPE DE SINALIZAÇÃO DEVE INICIAR A MOBILIZAÇÃO 21/06/2022</t>
  </si>
  <si>
    <t>CHEGOU INSUMO DE TINTA PARA REALIZAÇÃO DE 45KM DE PINTURA - BR-060 DEMANDA DA UL COXIM</t>
  </si>
  <si>
    <t>COBRAR DE MADRUGA, MAIS DEMANDAS PARA FATURAMENTO DO EMPENHOS</t>
  </si>
  <si>
    <t>ORDEM DE SERVIÇO ENCAMINHADO PELA FISCALIZAÇÃO</t>
  </si>
  <si>
    <t>ESTIMATIVA EM M² DE PINTURA TOTAL DE 21.000,00M² EM O.S.  - RECURSO DISPONIVEL DE EMPENHO APENAS PARA REALIZAÇÃO DA METADE DA PINTURA</t>
  </si>
  <si>
    <t>CASO SEJA APORTADO MAIS RECURSO - JÁ TEREMOS FRENTE DE PINTURA, PARA REALIZAÇÃO TEREMOS QUE ADQUIRIR MAIS INSUMOS</t>
  </si>
  <si>
    <t>REALIZAMOS A AQUISIÇÃO DA 1ª COMPRA PREVISTA ACIMA, ESTÁ NA EMINENCIA DE CHEGAR EM BOM JESUS DAS SELVAS</t>
  </si>
  <si>
    <t>NECESSÁRIO ORGANIZAR UMA EQUIPE PARA REALIZAÇÃO DA PINTURA</t>
  </si>
  <si>
    <t>PARA DEMAIS FATURAMENTO, DEVERÁ SER APORTADOS MAIS EMPENHOS.</t>
  </si>
  <si>
    <t>PREPARANDO, PARA ATENDER A DEMANDA DE UMA VEZ</t>
  </si>
  <si>
    <t>RESTANTES DOS INSUMOS, DEVEM VIAJAR ESTA SEMANA (21.06.2022 À 26.06.2022)</t>
  </si>
  <si>
    <t>NECESSÁRIO ORGANIZAR AS EQUIPES PARA REALIZAÇÃO DOS SERVIÇOS</t>
  </si>
  <si>
    <t>Natoniel / Mirla</t>
  </si>
  <si>
    <t>TOTAL</t>
  </si>
  <si>
    <t xml:space="preserve">  </t>
  </si>
  <si>
    <t>RASTREIO - MEDIÇÕES EM ANDMENTO</t>
  </si>
  <si>
    <t>Medição</t>
  </si>
  <si>
    <t>Elaboração Medição</t>
  </si>
  <si>
    <t>Validação Consultoria</t>
  </si>
  <si>
    <t>Implantação da Medição Sistema DNIT</t>
  </si>
  <si>
    <t>Emissão Notas Fiscais</t>
  </si>
  <si>
    <t>Envio para Brasília</t>
  </si>
  <si>
    <t>Valor</t>
  </si>
  <si>
    <t>Validação DNIT</t>
  </si>
  <si>
    <t>Não houve atividade no mês de outubro nesse contrato</t>
  </si>
  <si>
    <t>Medição entregue a consultoria 31/10/2022</t>
  </si>
  <si>
    <t>Alex  Concremat</t>
  </si>
  <si>
    <t>Alexandre  Prosul</t>
  </si>
  <si>
    <t>Renam Astep/Hollus</t>
  </si>
  <si>
    <t>Medição entregue 04/11/2022 - Engenheira Sinasc - assinou e encaminhou 04/11/2022</t>
  </si>
  <si>
    <t>Thannayel   Bureau Veritas</t>
  </si>
  <si>
    <t>Natoniel                   Mariana</t>
  </si>
  <si>
    <t>Natoniel                   Edcleydson</t>
  </si>
  <si>
    <t>Natoniel               Edcleydson</t>
  </si>
  <si>
    <t>Natoniel                         Mirla</t>
  </si>
  <si>
    <t>Natoniel                      Fabiano</t>
  </si>
  <si>
    <t>Natoniel                 Fabiano</t>
  </si>
  <si>
    <t>Natoniel               Mariana</t>
  </si>
  <si>
    <t>Diego              Ecoplan</t>
  </si>
  <si>
    <t>Medição entregue a consultoria 28/10/2022</t>
  </si>
  <si>
    <t>Medição entregue a consultoria 25/10/2022</t>
  </si>
  <si>
    <t>Contrato faltando implanntar renovação no sistema - falamos com Thadeu previsão para implantar 09/11/2022</t>
  </si>
  <si>
    <t>Henrique</t>
  </si>
  <si>
    <t>Fiscal protocolou segunda no DNIT - 07/11/2022</t>
  </si>
  <si>
    <t>Validado 08/11/2022</t>
  </si>
  <si>
    <t>Claúdio</t>
  </si>
  <si>
    <t>Assinado no SEI por Natoniel 08/11/2022 - Aguardando a solicitação para emissão de notas Fiscais</t>
  </si>
  <si>
    <t>Validado 07/11/2022</t>
  </si>
  <si>
    <t>Validado - 08/11/2022</t>
  </si>
  <si>
    <t>Marcos Madruga</t>
  </si>
  <si>
    <t>Validado - 04/11/2022</t>
  </si>
  <si>
    <t>Marco Antônio</t>
  </si>
  <si>
    <t>Karla Alves</t>
  </si>
  <si>
    <t>08/11/2022 - Solicitação de Notas Fiscais</t>
  </si>
  <si>
    <t>Aguardando Fiscal da Consultoria protocolar no DNIT - Hoje soliciteia mais uma vez apoio ao Fiscal do DNIT para cobrar da consultoria</t>
  </si>
  <si>
    <t>Validada para 10/11/2022</t>
  </si>
  <si>
    <t>Cris - implantado no SEI hoje 11/11/2022 - para poder solicitar as notas Fiscais</t>
  </si>
  <si>
    <t>Thaniel</t>
  </si>
  <si>
    <t>11/11/2022 - Chegou as emissções das notas fiscais da Trigonal  - Patricia juntou toda documentação e mandou para Ed protocolar no DNIT para seguir para Brasília</t>
  </si>
  <si>
    <t>Validado - 10/11/2022</t>
  </si>
  <si>
    <t>11/11/2022 - solicitação de envio das  Notas Fiscai</t>
  </si>
  <si>
    <t>Previsão para validação - 14/11/2022 - Fiscal viajando</t>
  </si>
  <si>
    <t xml:space="preserve">Solicitação das Notas Fiscais - 11/11/2022 às 16:35 - Documentação e Notas fiscais enviada para o Cris 16/11/2022 </t>
  </si>
  <si>
    <t>Estava aguardando o Thiago assinar a AES - Encaminhou para Brasilia - 22/11/2022</t>
  </si>
  <si>
    <t>Validado pelo Fiscal - 18/11/2022 - Implantado no SEI - 21/11/2022 - Aguardando a solicitação da emissão das notas fiscais por parte do DNIT</t>
  </si>
  <si>
    <t>Implantado no SEI - 18/11/2022 - Solicitação da emissão das notas Fiscais as 18:00</t>
  </si>
  <si>
    <t>Aguardando a Trigonal enviar suas respectivas Notas Fiscais</t>
  </si>
  <si>
    <t>Encaminhado para Brasilia - 21/11/2022</t>
  </si>
  <si>
    <t>Encaminhado para Brasilia - 18/11/2022</t>
  </si>
  <si>
    <t>Solicitação das Notas Fiscais - 28/11/2022</t>
  </si>
  <si>
    <t>Tramite da Renovação: 1° Empresa solicita reajustamento; 2° Coordenação de engenharia faz um apostilamento de reajuste e de preço de contrato; 3° Faz a publicação e solicita o endosso do segura garantia; 4° Empressa encaminha endosso de apolice; 5° será implantado no sistema novo valor de seguro; 6° o processo é encaminhado para SIAFI para cadastro financeiro; 7° SIAC libera para implantar medição com os indeces reajustados                                                                                     1° - OK    (solicitação foi realizada com bastante antecedencia inclusive discutida com diretoria tendo em vista que o valor do contrato iria diminuir);                                  2° - OK  (Fiscal da superentendicia demorou bastante para implantar o apastolimento, sendo necessario a ida de Mariana em São Luiz para conclusão da tarefa, concluido em 17/11/2022 encaminhado para assinatura na SINASC 18/11/2022, retorno assinado 22/11/2022 às 16:00);                                                                               3° - OK publicado 24/11/2022;                                                                                                                                                                                                                                                                                           4° - Endosso aguardando o DNIT solicitar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7° - OK - Medição implantada, solicitado a emissão das Notas Fiscais</t>
  </si>
  <si>
    <t>Medição implantada - 30/11/2022</t>
  </si>
  <si>
    <t>Encaminhado para Brasilia - 25/11/2022</t>
  </si>
  <si>
    <t>30/11/2022 - solicitação das Notas Fiscais - aguardando as notas fiscais chegarem para ver se não vai ocorrer algum ploblema na hora de solicitar o atesto</t>
  </si>
  <si>
    <t>Medição entregue a consultoria 23/11/2022</t>
  </si>
  <si>
    <t>Aguardando Validação</t>
  </si>
  <si>
    <t>Medição entregue a consultoria 25/11/2022</t>
  </si>
  <si>
    <t>Não há recurso - Empenho esgotado</t>
  </si>
  <si>
    <t>Medição entregue a consultoria 29/11/2022</t>
  </si>
  <si>
    <t>Medição entregue a consultoria 30/11/2022</t>
  </si>
  <si>
    <t>Fernando</t>
  </si>
  <si>
    <t>DNIT - Mato Grosso do Sul - CT.623 - Lote 06</t>
  </si>
  <si>
    <t>DNIT - RN (SIGLA) - BR LEGAL 2 - PR.° 0372022-14</t>
  </si>
  <si>
    <t>Natoniel</t>
  </si>
  <si>
    <t>SIGLA - RN - MOSSORÓ - CT.14.00421.2022</t>
  </si>
  <si>
    <t>DNIT - MT - CUIABÁ - CT.00603.2022</t>
  </si>
  <si>
    <t>DNIT - MA - GRAJAÚ - CT.00643.2022</t>
  </si>
  <si>
    <t>SINASC - MA - IMPERATRIZ - CT.15.00015.2021</t>
  </si>
  <si>
    <t>DNIT - RONDÔNIA- CT.22.00508.2021</t>
  </si>
  <si>
    <t>DNIT - ACRE - CT.24.00265.2021 ; LOTE 01</t>
  </si>
  <si>
    <t>DNIT - ACRE - CT.24.00266.2021 ; LOTE 02</t>
  </si>
  <si>
    <t>DNIT - MS - COXIM - CT.19.00622.2021</t>
  </si>
  <si>
    <t>DNIT - MS - DOURADOS -  CT.19.00623.2021</t>
  </si>
  <si>
    <t>Ronney/ Edcleydson</t>
  </si>
  <si>
    <t>Ronney/ Mirla</t>
  </si>
  <si>
    <t>Ronney / Mariana</t>
  </si>
  <si>
    <t>Ronney/ Fabiano</t>
  </si>
  <si>
    <t>Márcio</t>
  </si>
  <si>
    <t>AMTTC  - Caruaru</t>
  </si>
  <si>
    <t>CTTU - Segregadores</t>
  </si>
  <si>
    <t>DNIT - MA - Barão de Grajaú - CT.00643.2022</t>
  </si>
  <si>
    <t>DNIT - MT - Cuuiabá - CT.00603.2022</t>
  </si>
  <si>
    <t>DNIT - Rondônia- CT.22.00508.2021</t>
  </si>
  <si>
    <t>DNIT - Acre- CT.24.00265.2021 -  LOTE 01</t>
  </si>
  <si>
    <t>DNIT - Acre - CT.24.00266.2021  - LOTE 02</t>
  </si>
  <si>
    <t>AC</t>
  </si>
  <si>
    <t>RO</t>
  </si>
  <si>
    <t>MT</t>
  </si>
  <si>
    <t>MA</t>
  </si>
  <si>
    <t>BA</t>
  </si>
  <si>
    <t>SE</t>
  </si>
  <si>
    <t>PE</t>
  </si>
  <si>
    <t>Torre -  Tobias Barreto a Poço Verde</t>
  </si>
  <si>
    <t>Torre -  Anel Viário de Socorro</t>
  </si>
  <si>
    <t>PB</t>
  </si>
  <si>
    <t>Marcio</t>
  </si>
  <si>
    <t>SEINFRA - BAHIA 2023</t>
  </si>
  <si>
    <t>Humberto</t>
  </si>
  <si>
    <t>SEMOB- JP</t>
  </si>
  <si>
    <t>AGC - SE-285 - ENTRC BR-101_ARAUÁ</t>
  </si>
  <si>
    <t>PM DE JABOATÃO GUARARAPES CH 004-2023</t>
  </si>
  <si>
    <t>J&amp;F CONSTRUÇÃO PROP 041_2023 REV 02 PB 051 CALDAS BRANDÃO A MARI</t>
  </si>
  <si>
    <t>DF</t>
  </si>
  <si>
    <t>RONNEY</t>
  </si>
  <si>
    <t>SEINFRA-BA  AERÓDROMOS 2023</t>
  </si>
  <si>
    <t>OBRA FINALIZADA</t>
  </si>
  <si>
    <t>OBRA</t>
  </si>
  <si>
    <t>REGIONAL</t>
  </si>
  <si>
    <t>GESTÃO</t>
  </si>
  <si>
    <t>SETEMBRO</t>
  </si>
  <si>
    <t>OUTUBRO</t>
  </si>
  <si>
    <t>NOVEMBRO</t>
  </si>
  <si>
    <t>DEZEMBRO</t>
  </si>
  <si>
    <t>PREVISTO R$</t>
  </si>
  <si>
    <t xml:space="preserve">FATURADO R$ </t>
  </si>
  <si>
    <t>ACUMULADO</t>
  </si>
  <si>
    <t>VIGÊNCIA DO CONTRATO</t>
  </si>
  <si>
    <t>RECEBIMENTO 
LIQUIDO</t>
  </si>
  <si>
    <t>FATURADO R$ 
BRUTO</t>
  </si>
  <si>
    <t>PREVISTO R$
BRUTO</t>
  </si>
  <si>
    <t>A RECEBER 
LIQUIDO</t>
  </si>
  <si>
    <t xml:space="preserve">TORRE - ACESSO POVOADOS DE ITABAIANA </t>
  </si>
  <si>
    <t>FEVEREIRO  PI + R</t>
  </si>
  <si>
    <t>JANEIRO PI + R</t>
  </si>
  <si>
    <t>MARÇO PI + R</t>
  </si>
  <si>
    <t xml:space="preserve"> VIÁRIO NOVOTEL - PRO.019-2024</t>
  </si>
  <si>
    <t>RE</t>
  </si>
  <si>
    <t xml:space="preserve"> PERKONS - PROP 0182024 REV.03</t>
  </si>
  <si>
    <t>PR</t>
  </si>
  <si>
    <t>ABRIL PI +R</t>
  </si>
  <si>
    <t>MAIO PI + R</t>
  </si>
  <si>
    <t>JUNHO PI + R</t>
  </si>
  <si>
    <t>CTTU RECIFE LOTE 02 - CT 10_2024</t>
  </si>
  <si>
    <t>JULHO PI + R</t>
  </si>
  <si>
    <t>AGOSTO PI + R</t>
  </si>
  <si>
    <t>PM JABOATÃO DOS GUARARAPES CT N 005_2024-SDU</t>
  </si>
  <si>
    <t>205- EMPERTEC - PE 017</t>
  </si>
  <si>
    <t xml:space="preserve">    </t>
  </si>
  <si>
    <t>DETRAN - DF - ASV 01</t>
  </si>
  <si>
    <t>SEM ORDEM DE SERVIÇO</t>
  </si>
  <si>
    <t>FATURAMENTO</t>
  </si>
  <si>
    <t>DETRAN - DF - ASV 05</t>
  </si>
  <si>
    <t>ATUALIZADO</t>
  </si>
  <si>
    <t>JANEIRO</t>
  </si>
  <si>
    <t>FEVERERIO</t>
  </si>
  <si>
    <t>MARÇO</t>
  </si>
  <si>
    <t>ABRIL</t>
  </si>
  <si>
    <t>MAIO</t>
  </si>
  <si>
    <t>JUNHO</t>
  </si>
  <si>
    <t>JULHO</t>
  </si>
  <si>
    <t>AGOSTO</t>
  </si>
  <si>
    <t>FATURADO</t>
  </si>
  <si>
    <t>PREVISTO</t>
  </si>
  <si>
    <t>SOMA</t>
  </si>
  <si>
    <t>ASM</t>
  </si>
  <si>
    <t xml:space="preserve">PREVISÃO DE FATURAMENTO E FATURADO </t>
  </si>
  <si>
    <t>SINFRA MT</t>
  </si>
  <si>
    <t>OBRA - 202 PREF. JABOATÃO DOS GUARARAPES - PE</t>
  </si>
  <si>
    <t>MEDIÇÃO REFRÊNCIA</t>
  </si>
  <si>
    <t>04º BM NOVEMBRO DE 2024</t>
  </si>
  <si>
    <t>05º BM DEZEMBRO DE 2024</t>
  </si>
  <si>
    <t>NFSe</t>
  </si>
  <si>
    <t>VALOR  R$</t>
  </si>
  <si>
    <t>DATA DE EMISSÃO</t>
  </si>
  <si>
    <t>SOMA TOTAL</t>
  </si>
  <si>
    <t>03º BM  OUTUBRO DE 2024</t>
  </si>
  <si>
    <t xml:space="preserve"> TOP ENGENHARIA - BR 135 -COCOS - BA</t>
  </si>
  <si>
    <t xml:space="preserve">OBRA FINALIZADA </t>
  </si>
  <si>
    <t>DNIT - BR LEGAL - SALGUEIRO PE</t>
  </si>
  <si>
    <t>DNIT - BR LEGAL - BARREIRAS BA</t>
  </si>
  <si>
    <t xml:space="preserve">DNIT - BR LEGAL - GURUPI TO </t>
  </si>
  <si>
    <t>TO</t>
  </si>
  <si>
    <t xml:space="preserve">MARIANA </t>
  </si>
  <si>
    <t>EDCLEYDSON</t>
  </si>
  <si>
    <t xml:space="preserve"> (BR 232 Perkos S.A)</t>
  </si>
  <si>
    <t>DNIT - BR LEGAL - PRESIDENTE DUTRA MA</t>
  </si>
  <si>
    <t>CONSTRUTORA SAM</t>
  </si>
  <si>
    <t>HUMBEERTO</t>
  </si>
  <si>
    <t xml:space="preserve"> DER-PB - JOÃO PESSOA - PJ-0062025</t>
  </si>
  <si>
    <t>MARCIO</t>
  </si>
  <si>
    <t>PREVISÃO FATURAMENTO</t>
  </si>
  <si>
    <t>SALDO DE EMPENHO</t>
  </si>
  <si>
    <t>DNIT - MT - Cuiabá - CT.00603.2022</t>
  </si>
  <si>
    <t>VALOR CONTRATO</t>
  </si>
  <si>
    <t>PERÍODO</t>
  </si>
  <si>
    <t>CENTRO DE CUSTO</t>
  </si>
  <si>
    <t xml:space="preserve"> BR 232 Perkos S.A</t>
  </si>
  <si>
    <t>VALOR_CONTRATO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</si>
</sst>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  <numFmt numFmtId="166" formatCode="&quot;R$&quot;\ #,##0.00"/>
    <numFmt numFmtId="167" formatCode="[$-416]mmmm\-yy;@"/>
    <numFmt numFmtId="168" formatCode="0.0"/>
    <numFmt numFmtId="169" formatCode="0.000%"/>
    <numFmt numFmtId="170" formatCode="_(&quot;R$ &quot;* #,##0.00_);_(&quot;R$ &quot;* \(#,##0.00\);_(&quot;R$ &quot;* &quot;-&quot;??_);_(@_)"/>
    <numFmt numFmtId="171" formatCode="_(&quot;R$ &quot;* #,##0_);_(&quot;R$ &quot;* \(#,##0\);_(&quot;R$ &quot;* &quot;-&quot;_);_(@_)"/>
    <numFmt numFmtId="172" formatCode="#,##0.00\ ;&quot; (&quot;#,##0.00\);&quot; -&quot;#\ ;@\ "/>
    <numFmt numFmtId="173" formatCode="#,##0.000"/>
    <numFmt numFmtId="174" formatCode="_(* #,##0.000_);_(* \(#,##0.000\);_(* &quot;-&quot;??_);_(@_)"/>
    <numFmt numFmtId="175" formatCode="_-* #,##0.000_-;\-* #,##0.000_-;_-* &quot;-&quot;??_-;_-@_-"/>
    <numFmt numFmtId="176" formatCode="0.0000"/>
    <numFmt numFmtId="177" formatCode="00"/>
    <numFmt numFmtId="178" formatCode="0.000"/>
    <numFmt numFmtId="179" formatCode="&quot;R$ &quot;#,##0.00"/>
    <numFmt numFmtId="180" formatCode="0\.0"/>
    <numFmt numFmtId="181" formatCode="&quot;R$ &quot;#,##0_);[Red]\(&quot;R$ &quot;#,##0\)"/>
    <numFmt numFmtId="182" formatCode="_-* #,##0.00\ _E_s_c_._-;\-* #,##0.00\ _E_s_c_._-;_-* &quot;-&quot;??\ _E_s_c_._-;_-@_-"/>
    <numFmt numFmtId="183" formatCode="\$#,##0.00_);\(\$#,##0.00\)"/>
    <numFmt numFmtId="184" formatCode="_(&quot;R$&quot;\ * #,##0.00_);_(&quot;R$&quot;\ * \(#,##0.00\);_(&quot;R$&quot;\ * &quot;-&quot;??_);_(@_)"/>
    <numFmt numFmtId="185" formatCode="\$#,##0_);\(\$#,##0\)"/>
    <numFmt numFmtId="186" formatCode="mmmm\ d\,\ yyyy"/>
    <numFmt numFmtId="187" formatCode="[$€]#,##0.00_);[Red]\([$€]#,##0.00\)"/>
    <numFmt numFmtId="188" formatCode="#,##0.00&quot; &quot;;&quot; (&quot;#,##0.00&quot;)&quot;;&quot; -&quot;#&quot; &quot;;@&quot; &quot;"/>
    <numFmt numFmtId="189" formatCode="#,#00"/>
    <numFmt numFmtId="190" formatCode="_(* #,##0.000000_);_(* \(#,##0.000000\);_(* \-??_);_(@_)"/>
    <numFmt numFmtId="191" formatCode="00000"/>
    <numFmt numFmtId="192" formatCode="\$#,##0\ ;\(\$#,##0\)"/>
    <numFmt numFmtId="193" formatCode="&quot;R$&quot;\ #,##0_);[Red]\(&quot;R$&quot;\ #,##0\)"/>
    <numFmt numFmtId="194" formatCode="&quot;R$&quot;\ #,##0.00_);\(&quot;R$&quot;\ #,##0.00\)"/>
    <numFmt numFmtId="195" formatCode="_(&quot;Cr$&quot;* #,##0.00_);_(&quot;Cr$&quot;* \(#,##0.00\);_(&quot;Cr$&quot;* &quot;-&quot;??_);_(@_)"/>
    <numFmt numFmtId="196" formatCode="%#,#00"/>
    <numFmt numFmtId="197" formatCode="#.##000"/>
    <numFmt numFmtId="198" formatCode="#,"/>
    <numFmt numFmtId="199" formatCode="0.000#"/>
    <numFmt numFmtId="200" formatCode="_(* #,##0.00_);_(* \(#,##0.00\);_(* \-??_);_(@_)"/>
    <numFmt numFmtId="201" formatCode="&quot;R$ &quot;#,##0.00_);&quot;(R$ &quot;#,##0.00\)"/>
    <numFmt numFmtId="202" formatCode="#,##0.0000;[Red]#,##0.0000"/>
    <numFmt numFmtId="203" formatCode="#,##0.000;[Red]#,##0.000"/>
    <numFmt numFmtId="204" formatCode="_(* #,##0.0_);_(* \(#,##0.0\);_(* &quot;-&quot;??_);_(@_)"/>
    <numFmt numFmtId="205" formatCode="General_)"/>
    <numFmt numFmtId="206" formatCode="&quot;Cr$&quot;#,##0.00_);\(&quot;Cr$&quot;#,##0.00\)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#."/>
    <numFmt numFmtId="210" formatCode="_([$€-2]* #,##0.00_);_([$€-2]* \(#,##0.00\);_([$€-2]* &quot;-&quot;??_)"/>
    <numFmt numFmtId="211" formatCode="_ * #,##0_ ;_ * \-#,##0_ ;_ * &quot;-&quot;_ ;_ @_ "/>
    <numFmt numFmtId="212" formatCode="_ * #,##0.00_ ;_ * \-#,##0.00_ ;_ * &quot;-&quot;??_ ;_ @_ "/>
    <numFmt numFmtId="213" formatCode="_ &quot;S/&quot;* #,##0_ ;_ &quot;S/&quot;* \-#,##0_ ;_ &quot;S/&quot;* &quot;-&quot;_ ;_ @_ "/>
    <numFmt numFmtId="214" formatCode="_ &quot;S/&quot;* #,##0.00_ ;_ &quot;S/&quot;* \-#,##0.00_ ;_ &quot;S/&quot;* &quot;-&quot;??_ ;_ @_ "/>
    <numFmt numFmtId="215" formatCode="d/m/yy"/>
    <numFmt numFmtId="216" formatCode="#.##0,"/>
    <numFmt numFmtId="217" formatCode="_-&quot;R$ &quot;* #,##0.00_-;&quot;-R$ &quot;* #,##0.00_-;_-&quot;R$ &quot;* \-??_-;_-@_-"/>
    <numFmt numFmtId="218" formatCode="_-* #,##0.00_-;\-* #,##0.00_-;_-* \-??_-;_-@_-"/>
  </numFmts>
  <fonts count="1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Arial Black"/>
      <family val="2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1"/>
      <color theme="1"/>
      <name val="Bahnschrift Light SemiCondensed"/>
      <family val="2"/>
    </font>
    <font>
      <sz val="14"/>
      <color theme="1"/>
      <name val="Bahnschrift SemiLight Condensed"/>
      <family val="2"/>
    </font>
    <font>
      <sz val="10.199999999999999"/>
      <color theme="1"/>
      <name val="Bahnschrift Light SemiCondensed"/>
      <family val="2"/>
    </font>
    <font>
      <sz val="10.199999999999999"/>
      <name val="Bahnschrift Light SemiCondensed"/>
      <family val="2"/>
    </font>
    <font>
      <b/>
      <sz val="10.199999999999999"/>
      <name val="Bahnschrift Light SemiCondensed"/>
      <family val="2"/>
    </font>
    <font>
      <b/>
      <sz val="10.199999999999999"/>
      <color theme="1"/>
      <name val="Bahnschrift Light SemiCondensed"/>
      <family val="2"/>
    </font>
    <font>
      <b/>
      <sz val="10.199999999999999"/>
      <color rgb="FFFF0000"/>
      <name val="Bahnschrift Light SemiCondensed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.5"/>
      <name val="MS Sans Serif"/>
      <family val="2"/>
    </font>
    <font>
      <b/>
      <sz val="16"/>
      <color theme="1"/>
      <name val="Bahnschrift Light Semi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MS Sans Serif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6"/>
      <color indexed="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4"/>
      <name val="Arial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sz val="10"/>
      <name val="Courier"/>
      <family val="3"/>
    </font>
    <font>
      <sz val="11"/>
      <color indexed="8"/>
      <name val="Arial1"/>
    </font>
    <font>
      <i/>
      <sz val="11"/>
      <color indexed="23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‚l‚r ‚oƒSƒVƒbƒN"/>
      <family val="3"/>
      <charset val="128"/>
    </font>
    <font>
      <b/>
      <sz val="11"/>
      <name val="Helv"/>
    </font>
    <font>
      <sz val="12"/>
      <color indexed="24"/>
      <name val="Arial"/>
      <family val="2"/>
    </font>
    <font>
      <sz val="11"/>
      <color indexed="60"/>
      <name val="Calibri"/>
      <family val="2"/>
    </font>
    <font>
      <sz val="11"/>
      <name val="‚l‚r ‚o–¾’©"/>
      <family val="1"/>
      <charset val="128"/>
    </font>
    <font>
      <b/>
      <sz val="11"/>
      <color indexed="63"/>
      <name val="Calibri"/>
      <family val="2"/>
    </font>
    <font>
      <sz val="11"/>
      <name val="Tahoma"/>
      <family val="2"/>
    </font>
    <font>
      <sz val="1"/>
      <color indexed="18"/>
      <name val="Courier"/>
      <family val="3"/>
    </font>
    <font>
      <sz val="12"/>
      <name val="Courier"/>
      <family val="3"/>
    </font>
    <font>
      <b/>
      <i/>
      <sz val="9"/>
      <name val="Arial"/>
      <family val="2"/>
    </font>
    <font>
      <b/>
      <i/>
      <sz val="10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"/>
      <color indexed="8"/>
      <name val="Courier"/>
      <family val="3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Arial11"/>
    </font>
    <font>
      <sz val="10"/>
      <name val="BERNHARD"/>
    </font>
    <font>
      <sz val="10"/>
      <name val="Helv"/>
    </font>
    <font>
      <sz val="1"/>
      <color indexed="16"/>
      <name val="Courier"/>
      <family val="3"/>
    </font>
    <font>
      <b/>
      <sz val="13"/>
      <color indexed="62"/>
      <name val="Calibri"/>
      <family val="2"/>
    </font>
    <font>
      <b/>
      <i/>
      <sz val="16"/>
      <color rgb="FF000000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11"/>
      <name val="CG Omega"/>
      <family val="2"/>
    </font>
    <font>
      <sz val="8"/>
      <name val="Helv"/>
    </font>
    <font>
      <sz val="10"/>
      <name val="MS Sans Serif"/>
      <family val="2"/>
    </font>
    <font>
      <b/>
      <sz val="7"/>
      <color indexed="10"/>
      <name val="Arial"/>
      <family val="2"/>
    </font>
    <font>
      <b/>
      <sz val="10"/>
      <color indexed="23"/>
      <name val="Calibri"/>
      <family val="2"/>
    </font>
    <font>
      <b/>
      <sz val="9"/>
      <name val="Times New Roman"/>
      <family val="1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6"/>
      <color indexed="8"/>
      <name val="Arial"/>
      <family val="2"/>
    </font>
    <font>
      <b/>
      <sz val="14"/>
      <color theme="1"/>
      <name val="Bahnschrift SemiLight Condensed"/>
      <family val="2"/>
    </font>
    <font>
      <b/>
      <sz val="14"/>
      <color rgb="FFFF0000"/>
      <name val="Calibri"/>
      <family val="2"/>
      <scheme val="minor"/>
    </font>
    <font>
      <b/>
      <sz val="12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8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theme="1"/>
      <name val="Bahnschrift Light SemiCondensed"/>
      <family val="2"/>
    </font>
    <font>
      <b/>
      <sz val="12"/>
      <color rgb="FFFF0000"/>
      <name val="Bahnschrift Light SemiCondensed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199999999999999"/>
      <color theme="4"/>
      <name val="Bahnschrift Light SemiCondensed"/>
      <family val="2"/>
    </font>
    <font>
      <sz val="12"/>
      <color theme="1"/>
      <name val="Bahnschrift SemiLight Condensed"/>
      <family val="2"/>
    </font>
    <font>
      <sz val="10"/>
      <color theme="1"/>
      <name val="Bahnschrift SemiLight Condensed"/>
      <family val="2"/>
    </font>
    <font>
      <b/>
      <sz val="12"/>
      <color theme="1"/>
      <name val="Bahnschrift SemiLight Condensed"/>
      <family val="2"/>
    </font>
  </fonts>
  <fills count="8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536">
    <xf numFmtId="0" fontId="0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/>
    <xf numFmtId="4" fontId="30" fillId="0" borderId="0">
      <alignment vertical="center"/>
    </xf>
    <xf numFmtId="0" fontId="28" fillId="0" borderId="0"/>
    <xf numFmtId="0" fontId="28" fillId="0" borderId="0"/>
    <xf numFmtId="0" fontId="34" fillId="0" borderId="4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2" borderId="44" applyNumberFormat="0" applyAlignment="0" applyProtection="0"/>
    <xf numFmtId="0" fontId="38" fillId="13" borderId="45" applyNumberFormat="0" applyAlignment="0" applyProtection="0"/>
    <xf numFmtId="0" fontId="39" fillId="13" borderId="44" applyNumberFormat="0" applyAlignment="0" applyProtection="0"/>
    <xf numFmtId="0" fontId="40" fillId="0" borderId="46" applyNumberFormat="0" applyFill="0" applyAlignment="0" applyProtection="0"/>
    <xf numFmtId="0" fontId="41" fillId="14" borderId="47" applyNumberFormat="0" applyAlignment="0" applyProtection="0"/>
    <xf numFmtId="0" fontId="42" fillId="0" borderId="0" applyNumberFormat="0" applyFill="0" applyBorder="0" applyAlignment="0" applyProtection="0"/>
    <xf numFmtId="0" fontId="19" fillId="15" borderId="48" applyNumberFormat="0" applyFont="0" applyAlignment="0" applyProtection="0"/>
    <xf numFmtId="0" fontId="43" fillId="0" borderId="0" applyNumberFormat="0" applyFill="0" applyBorder="0" applyAlignment="0" applyProtection="0"/>
    <xf numFmtId="0" fontId="1" fillId="0" borderId="49" applyNumberFormat="0" applyFill="0" applyAlignment="0" applyProtection="0"/>
    <xf numFmtId="0" fontId="4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44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46" fillId="0" borderId="0" applyFont="0" applyFill="0" applyBorder="0" applyAlignment="0" applyProtection="0"/>
    <xf numFmtId="0" fontId="28" fillId="0" borderId="0"/>
    <xf numFmtId="0" fontId="28" fillId="0" borderId="0"/>
    <xf numFmtId="0" fontId="48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49" fillId="11" borderId="0" applyNumberFormat="0" applyBorder="0" applyAlignment="0" applyProtection="0"/>
    <xf numFmtId="0" fontId="44" fillId="19" borderId="0" applyNumberFormat="0" applyBorder="0" applyAlignment="0" applyProtection="0"/>
    <xf numFmtId="0" fontId="44" fillId="23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5" borderId="0" applyNumberFormat="0" applyBorder="0" applyAlignment="0" applyProtection="0"/>
    <xf numFmtId="0" fontId="44" fillId="39" borderId="0" applyNumberFormat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170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0" fontId="28" fillId="0" borderId="0"/>
    <xf numFmtId="0" fontId="50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45" fillId="0" borderId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80" fontId="28" fillId="0" borderId="0">
      <alignment horizontal="center" vertical="top"/>
    </xf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6" fillId="43" borderId="0" applyNumberFormat="0" applyBorder="0" applyAlignment="0" applyProtection="0"/>
    <xf numFmtId="0" fontId="46" fillId="52" borderId="0" applyNumberFormat="0" applyBorder="0" applyAlignment="0" applyProtection="0"/>
    <xf numFmtId="0" fontId="46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7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71" borderId="0" applyNumberFormat="0" applyBorder="0" applyAlignment="0" applyProtection="0"/>
    <xf numFmtId="0" fontId="56" fillId="41" borderId="0" applyNumberFormat="0" applyBorder="0" applyAlignment="0" applyProtection="0"/>
    <xf numFmtId="0" fontId="57" fillId="48" borderId="0" applyNumberFormat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60" fillId="0" borderId="53" applyNumberFormat="0" applyFill="0" applyAlignment="0" applyProtection="0"/>
    <xf numFmtId="0" fontId="59" fillId="74" borderId="52" applyNumberFormat="0" applyAlignment="0" applyProtection="0"/>
    <xf numFmtId="39" fontId="28" fillId="0" borderId="0" applyFill="0" applyBorder="0" applyAlignment="0" applyProtection="0"/>
    <xf numFmtId="172" fontId="28" fillId="0" borderId="0" applyFill="0" applyBorder="0" applyAlignment="0" applyProtection="0"/>
    <xf numFmtId="181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61" fillId="0" borderId="0" applyFont="0" applyFill="0" applyBorder="0" applyAlignment="0" applyProtection="0"/>
    <xf numFmtId="183" fontId="28" fillId="0" borderId="0" applyFill="0" applyBorder="0" applyAlignment="0" applyProtection="0"/>
    <xf numFmtId="17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8" fillId="0" borderId="0" applyFill="0" applyBorder="0" applyAlignment="0" applyProtection="0"/>
    <xf numFmtId="0" fontId="62" fillId="0" borderId="0">
      <protection locked="0"/>
    </xf>
    <xf numFmtId="186" fontId="28" fillId="0" borderId="0" applyFill="0" applyBorder="0" applyAlignment="0" applyProtection="0"/>
    <xf numFmtId="0" fontId="55" fillId="75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78" borderId="0" applyNumberFormat="0" applyBorder="0" applyAlignment="0" applyProtection="0"/>
    <xf numFmtId="0" fontId="63" fillId="51" borderId="51" applyNumberFormat="0" applyAlignment="0" applyProtection="0"/>
    <xf numFmtId="187" fontId="64" fillId="0" borderId="0" applyFont="0" applyFill="0" applyBorder="0" applyAlignment="0" applyProtection="0"/>
    <xf numFmtId="188" fontId="65" fillId="0" borderId="0"/>
    <xf numFmtId="0" fontId="66" fillId="0" borderId="0" applyNumberFormat="0" applyFill="0" applyBorder="0" applyAlignment="0" applyProtection="0"/>
    <xf numFmtId="2" fontId="28" fillId="0" borderId="0" applyFill="0" applyBorder="0" applyAlignment="0" applyProtection="0"/>
    <xf numFmtId="189" fontId="62" fillId="0" borderId="0">
      <protection locked="0"/>
    </xf>
    <xf numFmtId="0" fontId="57" fillId="42" borderId="0" applyNumberFormat="0" applyBorder="0" applyAlignment="0" applyProtection="0"/>
    <xf numFmtId="0" fontId="67" fillId="0" borderId="0">
      <alignment horizontal="left"/>
    </xf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56" fillId="47" borderId="0" applyNumberFormat="0" applyBorder="0" applyAlignment="0" applyProtection="0"/>
    <xf numFmtId="0" fontId="64" fillId="0" borderId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60" fillId="0" borderId="53" applyNumberFormat="0" applyFill="0" applyAlignment="0" applyProtection="0"/>
    <xf numFmtId="38" fontId="71" fillId="0" borderId="0" applyFont="0" applyFill="0" applyBorder="0" applyAlignment="0" applyProtection="0"/>
    <xf numFmtId="40" fontId="71" fillId="0" borderId="0" applyFont="0" applyFill="0" applyBorder="0" applyAlignment="0" applyProtection="0"/>
    <xf numFmtId="0" fontId="72" fillId="0" borderId="40"/>
    <xf numFmtId="170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90" fontId="53" fillId="0" borderId="0" applyFill="0" applyBorder="0" applyAlignment="0" applyProtection="0"/>
    <xf numFmtId="191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28" fillId="0" borderId="0" applyFont="0" applyFill="0" applyBorder="0" applyAlignment="0" applyProtection="0"/>
    <xf numFmtId="194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0" fontId="74" fillId="79" borderId="0" applyNumberFormat="0" applyBorder="0" applyAlignment="0" applyProtection="0"/>
    <xf numFmtId="0" fontId="74" fillId="80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 applyAlignment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28" fillId="0" borderId="0" applyNumberFormat="0" applyBorder="0">
      <alignment horizontal="center" vertical="center"/>
    </xf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76" fillId="44" borderId="59" applyNumberFormat="0" applyAlignment="0" applyProtection="0"/>
    <xf numFmtId="10" fontId="28" fillId="0" borderId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62" fillId="0" borderId="0">
      <protection locked="0"/>
    </xf>
    <xf numFmtId="197" fontId="62" fillId="0" borderId="0">
      <protection locked="0"/>
    </xf>
    <xf numFmtId="9" fontId="4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ill="0" applyBorder="0" applyAlignment="0" applyProtection="0"/>
    <xf numFmtId="0" fontId="76" fillId="72" borderId="59" applyNumberFormat="0" applyAlignment="0" applyProtection="0"/>
    <xf numFmtId="198" fontId="78" fillId="0" borderId="0">
      <protection locked="0"/>
    </xf>
    <xf numFmtId="17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200" fontId="51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1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2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201" fontId="53" fillId="0" borderId="0" applyFill="0" applyBorder="0" applyAlignment="0" applyProtection="0"/>
    <xf numFmtId="197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1" fontId="28" fillId="0" borderId="0" applyFill="0" applyBorder="0" applyAlignment="0" applyProtection="0"/>
    <xf numFmtId="203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28" fillId="0" borderId="0" applyFill="0" applyBorder="0" applyAlignment="0" applyProtection="0"/>
    <xf numFmtId="4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79" fillId="0" borderId="0">
      <alignment horizontal="left"/>
    </xf>
    <xf numFmtId="0" fontId="72" fillId="0" borderId="0"/>
    <xf numFmtId="200" fontId="80" fillId="0" borderId="60"/>
    <xf numFmtId="200" fontId="81" fillId="0" borderId="61"/>
    <xf numFmtId="0" fontId="8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8" fillId="0" borderId="54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54" applyNumberFormat="0" applyFill="0" applyAlignment="0" applyProtection="0"/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98" fontId="86" fillId="0" borderId="0">
      <protection locked="0"/>
    </xf>
    <xf numFmtId="198" fontId="86" fillId="0" borderId="0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3" fontId="73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19" fillId="15" borderId="48" applyNumberFormat="0" applyFont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198" fontId="62" fillId="0" borderId="63">
      <protection locked="0"/>
    </xf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76" fillId="72" borderId="59" applyNumberFormat="0" applyAlignment="0" applyProtection="0"/>
    <xf numFmtId="198" fontId="62" fillId="0" borderId="63">
      <protection locked="0"/>
    </xf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28" fillId="0" borderId="57">
      <alignment horizontal="center" vertical="top" wrapText="1"/>
    </xf>
    <xf numFmtId="0" fontId="19" fillId="0" borderId="0"/>
    <xf numFmtId="0" fontId="70" fillId="0" borderId="56" applyNumberFormat="0" applyFill="0" applyAlignment="0" applyProtection="0"/>
    <xf numFmtId="200" fontId="80" fillId="0" borderId="60"/>
    <xf numFmtId="198" fontId="62" fillId="0" borderId="63">
      <protection locked="0"/>
    </xf>
    <xf numFmtId="0" fontId="19" fillId="0" borderId="0"/>
    <xf numFmtId="0" fontId="58" fillId="44" borderId="51" applyNumberFormat="0" applyAlignment="0" applyProtection="0"/>
    <xf numFmtId="0" fontId="72" fillId="0" borderId="40"/>
    <xf numFmtId="0" fontId="19" fillId="0" borderId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198" fontId="62" fillId="0" borderId="63">
      <protection locked="0"/>
    </xf>
    <xf numFmtId="0" fontId="72" fillId="0" borderId="40"/>
    <xf numFmtId="0" fontId="76" fillId="44" borderId="59" applyNumberFormat="0" applyAlignment="0" applyProtection="0"/>
    <xf numFmtId="200" fontId="80" fillId="0" borderId="6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28" fillId="0" borderId="0" applyFont="0" applyFill="0" applyBorder="0" applyAlignment="0" applyProtection="0"/>
    <xf numFmtId="0" fontId="28" fillId="0" borderId="57">
      <alignment horizontal="center" vertical="top" wrapText="1"/>
    </xf>
    <xf numFmtId="0" fontId="63" fillId="51" borderId="51" applyNumberFormat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63" fillId="51" borderId="51" applyNumberFormat="0" applyAlignment="0" applyProtection="0"/>
    <xf numFmtId="43" fontId="77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8" fontId="62" fillId="0" borderId="63">
      <protection locked="0"/>
    </xf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62" applyNumberFormat="0" applyFill="0" applyAlignment="0" applyProtection="0"/>
    <xf numFmtId="200" fontId="80" fillId="0" borderId="60"/>
    <xf numFmtId="0" fontId="70" fillId="0" borderId="56" applyNumberFormat="0" applyFill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19" fillId="15" borderId="48" applyNumberFormat="0" applyFont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198" fontId="62" fillId="0" borderId="63">
      <protection locked="0"/>
    </xf>
    <xf numFmtId="200" fontId="80" fillId="0" borderId="60"/>
    <xf numFmtId="198" fontId="62" fillId="0" borderId="63">
      <protection locked="0"/>
    </xf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63" fillId="51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28" fillId="82" borderId="58" applyNumberFormat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59" fillId="74" borderId="52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200" fontId="81" fillId="0" borderId="61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44" borderId="51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63" fillId="51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82" borderId="58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7" borderId="0" applyNumberFormat="0" applyBorder="0" applyAlignment="0" applyProtection="0"/>
    <xf numFmtId="0" fontId="44" fillId="19" borderId="0" applyNumberFormat="0" applyBorder="0" applyAlignment="0" applyProtection="0"/>
    <xf numFmtId="0" fontId="55" fillId="64" borderId="0" applyNumberFormat="0" applyBorder="0" applyAlignment="0" applyProtection="0"/>
    <xf numFmtId="0" fontId="44" fillId="23" borderId="0" applyNumberFormat="0" applyBorder="0" applyAlignment="0" applyProtection="0"/>
    <xf numFmtId="0" fontId="55" fillId="57" borderId="0" applyNumberFormat="0" applyBorder="0" applyAlignment="0" applyProtection="0"/>
    <xf numFmtId="0" fontId="44" fillId="27" borderId="0" applyNumberFormat="0" applyBorder="0" applyAlignment="0" applyProtection="0"/>
    <xf numFmtId="0" fontId="55" fillId="58" borderId="0" applyNumberFormat="0" applyBorder="0" applyAlignment="0" applyProtection="0"/>
    <xf numFmtId="0" fontId="44" fillId="31" borderId="0" applyNumberFormat="0" applyBorder="0" applyAlignment="0" applyProtection="0"/>
    <xf numFmtId="0" fontId="89" fillId="0" borderId="0"/>
    <xf numFmtId="0" fontId="55" fillId="65" borderId="0" applyNumberFormat="0" applyBorder="0" applyAlignment="0" applyProtection="0"/>
    <xf numFmtId="0" fontId="44" fillId="35" borderId="0" applyNumberFormat="0" applyBorder="0" applyAlignment="0" applyProtection="0"/>
    <xf numFmtId="0" fontId="55" fillId="66" borderId="0" applyNumberFormat="0" applyBorder="0" applyAlignment="0" applyProtection="0"/>
    <xf numFmtId="0" fontId="44" fillId="39" borderId="0" applyNumberFormat="0" applyBorder="0" applyAlignment="0" applyProtection="0"/>
    <xf numFmtId="0" fontId="55" fillId="67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78" borderId="0" applyNumberFormat="0" applyBorder="0" applyAlignment="0" applyProtection="0"/>
    <xf numFmtId="0" fontId="56" fillId="47" borderId="0" applyNumberFormat="0" applyBorder="0" applyAlignment="0" applyProtection="0"/>
    <xf numFmtId="0" fontId="35" fillId="9" borderId="0" applyNumberFormat="0" applyBorder="0" applyAlignment="0" applyProtection="0"/>
    <xf numFmtId="0" fontId="57" fillId="48" borderId="0" applyNumberFormat="0" applyBorder="0" applyAlignment="0" applyProtection="0"/>
    <xf numFmtId="206" fontId="86" fillId="0" borderId="0">
      <protection locked="0"/>
    </xf>
    <xf numFmtId="206" fontId="86" fillId="0" borderId="0">
      <protection locked="0"/>
    </xf>
    <xf numFmtId="0" fontId="47" fillId="83" borderId="64" applyNumberFormat="0" applyFont="0" applyBorder="0" applyAlignment="0">
      <alignment horizontal="left" vertical="center"/>
    </xf>
    <xf numFmtId="0" fontId="39" fillId="13" borderId="44" applyNumberFormat="0" applyAlignment="0" applyProtection="0"/>
    <xf numFmtId="0" fontId="58" fillId="72" borderId="51" applyNumberFormat="0" applyAlignment="0" applyProtection="0"/>
    <xf numFmtId="0" fontId="88" fillId="0" borderId="0"/>
    <xf numFmtId="0" fontId="41" fillId="14" borderId="47" applyNumberFormat="0" applyAlignment="0" applyProtection="0"/>
    <xf numFmtId="0" fontId="59" fillId="73" borderId="52" applyNumberFormat="0" applyAlignment="0" applyProtection="0"/>
    <xf numFmtId="0" fontId="90" fillId="0" borderId="0"/>
    <xf numFmtId="0" fontId="40" fillId="0" borderId="46" applyNumberFormat="0" applyFill="0" applyAlignment="0" applyProtection="0"/>
    <xf numFmtId="0" fontId="60" fillId="0" borderId="53" applyNumberFormat="0" applyFill="0" applyAlignment="0" applyProtection="0"/>
    <xf numFmtId="0" fontId="91" fillId="0" borderId="0"/>
    <xf numFmtId="0" fontId="92" fillId="0" borderId="0"/>
    <xf numFmtId="0" fontId="91" fillId="0" borderId="0"/>
    <xf numFmtId="0" fontId="92" fillId="0" borderId="0"/>
    <xf numFmtId="207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9" fontId="93" fillId="0" borderId="0">
      <protection locked="0"/>
    </xf>
    <xf numFmtId="0" fontId="62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44" fillId="16" borderId="0" applyNumberFormat="0" applyBorder="0" applyAlignment="0" applyProtection="0"/>
    <xf numFmtId="0" fontId="55" fillId="75" borderId="0" applyNumberFormat="0" applyBorder="0" applyAlignment="0" applyProtection="0"/>
    <xf numFmtId="0" fontId="44" fillId="20" borderId="0" applyNumberFormat="0" applyBorder="0" applyAlignment="0" applyProtection="0"/>
    <xf numFmtId="0" fontId="55" fillId="76" borderId="0" applyNumberFormat="0" applyBorder="0" applyAlignment="0" applyProtection="0"/>
    <xf numFmtId="0" fontId="44" fillId="24" borderId="0" applyNumberFormat="0" applyBorder="0" applyAlignment="0" applyProtection="0"/>
    <xf numFmtId="0" fontId="55" fillId="77" borderId="0" applyNumberFormat="0" applyBorder="0" applyAlignment="0" applyProtection="0"/>
    <xf numFmtId="0" fontId="44" fillId="28" borderId="0" applyNumberFormat="0" applyBorder="0" applyAlignment="0" applyProtection="0"/>
    <xf numFmtId="0" fontId="55" fillId="65" borderId="0" applyNumberFormat="0" applyBorder="0" applyAlignment="0" applyProtection="0"/>
    <xf numFmtId="0" fontId="44" fillId="32" borderId="0" applyNumberFormat="0" applyBorder="0" applyAlignment="0" applyProtection="0"/>
    <xf numFmtId="0" fontId="55" fillId="66" borderId="0" applyNumberFormat="0" applyBorder="0" applyAlignment="0" applyProtection="0"/>
    <xf numFmtId="0" fontId="44" fillId="36" borderId="0" applyNumberFormat="0" applyBorder="0" applyAlignment="0" applyProtection="0"/>
    <xf numFmtId="0" fontId="55" fillId="78" borderId="0" applyNumberFormat="0" applyBorder="0" applyAlignment="0" applyProtection="0"/>
    <xf numFmtId="0" fontId="37" fillId="12" borderId="44" applyNumberFormat="0" applyAlignment="0" applyProtection="0"/>
    <xf numFmtId="0" fontId="63" fillId="51" borderId="51" applyNumberFormat="0" applyAlignment="0" applyProtection="0"/>
    <xf numFmtId="210" fontId="28" fillId="0" borderId="0" applyFon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209" fontId="93" fillId="0" borderId="0">
      <protection locked="0"/>
    </xf>
    <xf numFmtId="0" fontId="85" fillId="0" borderId="65" applyNumberFormat="0" applyFill="0" applyAlignment="0" applyProtection="0"/>
    <xf numFmtId="0" fontId="94" fillId="0" borderId="66" applyNumberFormat="0" applyFill="0" applyAlignment="0" applyProtection="0"/>
    <xf numFmtId="0" fontId="95" fillId="0" borderId="0">
      <alignment horizontal="center" textRotation="90"/>
    </xf>
    <xf numFmtId="0" fontId="96" fillId="0" borderId="0" applyNumberFormat="0" applyFill="0" applyBorder="0" applyAlignment="0" applyProtection="0">
      <alignment vertical="top"/>
      <protection locked="0"/>
    </xf>
    <xf numFmtId="0" fontId="36" fillId="10" borderId="0" applyNumberFormat="0" applyBorder="0" applyAlignment="0" applyProtection="0"/>
    <xf numFmtId="0" fontId="56" fillId="47" borderId="0" applyNumberFormat="0" applyBorder="0" applyAlignment="0" applyProtection="0"/>
    <xf numFmtId="0" fontId="51" fillId="0" borderId="50" applyNumberFormat="0" applyFont="0" applyBorder="0" applyAlignment="0" applyProtection="0">
      <alignment horizontal="left"/>
    </xf>
    <xf numFmtId="0" fontId="28" fillId="0" borderId="0">
      <alignment horizontal="centerContinuous" vertical="justify"/>
    </xf>
    <xf numFmtId="211" fontId="28" fillId="0" borderId="0" applyFont="0" applyFill="0" applyBorder="0" applyAlignment="0" applyProtection="0"/>
    <xf numFmtId="21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97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28" fillId="0" borderId="0"/>
    <xf numFmtId="3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0" fontId="62" fillId="0" borderId="0">
      <protection locked="0"/>
    </xf>
    <xf numFmtId="195" fontId="28" fillId="0" borderId="0" applyFont="0" applyFill="0" applyBorder="0" applyAlignment="0" applyProtection="0"/>
    <xf numFmtId="0" fontId="49" fillId="11" borderId="0" applyNumberFormat="0" applyBorder="0" applyAlignment="0" applyProtection="0"/>
    <xf numFmtId="0" fontId="74" fillId="79" borderId="0" applyNumberFormat="0" applyBorder="0" applyAlignment="0" applyProtection="0"/>
    <xf numFmtId="0" fontId="74" fillId="79" borderId="0" applyNumberFormat="0" applyBorder="0" applyAlignment="0" applyProtection="0"/>
    <xf numFmtId="37" fontId="98" fillId="0" borderId="0"/>
    <xf numFmtId="0" fontId="77" fillId="0" borderId="0"/>
    <xf numFmtId="0" fontId="77" fillId="0" borderId="0"/>
    <xf numFmtId="0" fontId="19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" fillId="0" borderId="0"/>
    <xf numFmtId="0" fontId="77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8" fillId="0" borderId="0" applyNumberFormat="0" applyFont="0" applyFill="0" applyBorder="0" applyAlignment="0" applyProtection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7" fillId="0" borderId="0"/>
    <xf numFmtId="0" fontId="46" fillId="0" borderId="0"/>
    <xf numFmtId="0" fontId="19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97" fillId="0" borderId="0"/>
    <xf numFmtId="0" fontId="87" fillId="0" borderId="0"/>
    <xf numFmtId="0" fontId="9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99" fillId="0" borderId="67" applyNumberFormat="0" applyFont="0" applyBorder="0" applyAlignment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2" fillId="0" borderId="0">
      <protection locked="0"/>
    </xf>
    <xf numFmtId="38" fontId="101" fillId="0" borderId="0"/>
    <xf numFmtId="0" fontId="38" fillId="13" borderId="45" applyNumberFormat="0" applyAlignment="0" applyProtection="0"/>
    <xf numFmtId="0" fontId="76" fillId="72" borderId="59" applyNumberFormat="0" applyAlignment="0" applyProtection="0"/>
    <xf numFmtId="209" fontId="78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02" fillId="0" borderId="0"/>
    <xf numFmtId="0" fontId="103" fillId="0" borderId="18" applyNumberFormat="0" applyBorder="0" applyAlignment="0">
      <alignment horizontal="center" vertical="center"/>
    </xf>
    <xf numFmtId="0" fontId="4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68" fillId="0" borderId="54" applyNumberFormat="0" applyFill="0" applyAlignment="0" applyProtection="0"/>
    <xf numFmtId="0" fontId="83" fillId="0" borderId="0" applyNumberFormat="0" applyFill="0" applyBorder="0" applyAlignment="0" applyProtection="0"/>
    <xf numFmtId="215" fontId="104" fillId="0" borderId="0">
      <alignment horizontal="center" textRotation="90"/>
    </xf>
    <xf numFmtId="0" fontId="33" fillId="0" borderId="42" applyNumberFormat="0" applyFill="0" applyAlignment="0" applyProtection="0"/>
    <xf numFmtId="0" fontId="69" fillId="0" borderId="55" applyNumberFormat="0" applyFill="0" applyAlignment="0" applyProtection="0"/>
    <xf numFmtId="0" fontId="34" fillId="0" borderId="43" applyNumberFormat="0" applyFill="0" applyAlignment="0" applyProtection="0"/>
    <xf numFmtId="0" fontId="70" fillId="0" borderId="56" applyNumberFormat="0" applyFill="0" applyAlignment="0" applyProtection="0"/>
    <xf numFmtId="0" fontId="3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49" fontId="105" fillId="0" borderId="22">
      <alignment horizontal="left" vertical="center"/>
    </xf>
    <xf numFmtId="49" fontId="105" fillId="0" borderId="22">
      <alignment horizontal="left" vertical="center"/>
    </xf>
    <xf numFmtId="197" fontId="62" fillId="0" borderId="0">
      <protection locked="0"/>
    </xf>
    <xf numFmtId="216" fontId="62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9" fontId="100" fillId="0" borderId="0" applyFont="0" applyFill="0" applyBorder="0" applyAlignment="0" applyProtection="0"/>
    <xf numFmtId="208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6" fillId="0" borderId="0" applyFont="0" applyFill="0" applyBorder="0" applyAlignment="0" applyProtection="0">
      <alignment vertical="top" wrapText="1"/>
    </xf>
    <xf numFmtId="43" fontId="19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107" fillId="0" borderId="0"/>
    <xf numFmtId="218" fontId="107" fillId="0" borderId="0" applyBorder="0" applyProtection="0"/>
    <xf numFmtId="217" fontId="107" fillId="0" borderId="0" applyBorder="0" applyProtection="0"/>
    <xf numFmtId="9" fontId="107" fillId="0" borderId="0" applyBorder="0" applyProtection="0"/>
    <xf numFmtId="0" fontId="108" fillId="0" borderId="0"/>
    <xf numFmtId="170" fontId="109" fillId="0" borderId="0" applyFont="0" applyFill="0" applyBorder="0" applyAlignment="0" applyProtection="0"/>
    <xf numFmtId="0" fontId="109" fillId="0" borderId="0"/>
    <xf numFmtId="0" fontId="109" fillId="0" borderId="0"/>
    <xf numFmtId="9" fontId="109" fillId="0" borderId="0" applyFont="0" applyFill="0" applyBorder="0" applyAlignment="0" applyProtection="0"/>
    <xf numFmtId="0" fontId="110" fillId="84" borderId="0" applyNumberFormat="0" applyBorder="0" applyProtection="0">
      <alignment horizontal="left" vertical="top"/>
    </xf>
    <xf numFmtId="0" fontId="110" fillId="84" borderId="0" applyNumberFormat="0" applyBorder="0" applyProtection="0">
      <alignment horizontal="left" vertical="top"/>
    </xf>
    <xf numFmtId="0" fontId="109" fillId="0" borderId="0"/>
    <xf numFmtId="9" fontId="19" fillId="0" borderId="0" applyFont="0" applyFill="0" applyBorder="0" applyAlignment="0" applyProtection="0"/>
    <xf numFmtId="9" fontId="46" fillId="0" borderId="0" applyFill="0" applyBorder="0" applyAlignment="0" applyProtection="0"/>
    <xf numFmtId="218" fontId="46" fillId="0" borderId="0" applyFill="0" applyBorder="0" applyAlignment="0" applyProtection="0"/>
    <xf numFmtId="0" fontId="107" fillId="0" borderId="0"/>
    <xf numFmtId="217" fontId="46" fillId="0" borderId="0" applyFill="0" applyBorder="0" applyAlignment="0" applyProtection="0"/>
    <xf numFmtId="0" fontId="107" fillId="0" borderId="0"/>
    <xf numFmtId="0" fontId="107" fillId="0" borderId="0"/>
    <xf numFmtId="0" fontId="107" fillId="0" borderId="0"/>
  </cellStyleXfs>
  <cellXfs count="35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right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6" fontId="7" fillId="4" borderId="1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66" fontId="11" fillId="4" borderId="7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/>
    <xf numFmtId="0" fontId="1" fillId="0" borderId="25" xfId="0" applyFont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right" vertical="center"/>
    </xf>
    <xf numFmtId="0" fontId="0" fillId="0" borderId="0" xfId="0" applyAlignment="1">
      <alignment horizontal="left"/>
    </xf>
    <xf numFmtId="166" fontId="11" fillId="4" borderId="1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66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left" vertical="center"/>
    </xf>
    <xf numFmtId="0" fontId="0" fillId="4" borderId="0" xfId="0" applyFill="1"/>
    <xf numFmtId="166" fontId="14" fillId="0" borderId="0" xfId="0" applyNumberFormat="1" applyFont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166" fontId="5" fillId="2" borderId="29" xfId="0" applyNumberFormat="1" applyFont="1" applyFill="1" applyBorder="1" applyAlignment="1">
      <alignment horizontal="center" vertical="center" wrapText="1"/>
    </xf>
    <xf numFmtId="44" fontId="16" fillId="2" borderId="26" xfId="0" applyNumberFormat="1" applyFont="1" applyFill="1" applyBorder="1" applyAlignment="1">
      <alignment horizontal="center" vertical="center"/>
    </xf>
    <xf numFmtId="44" fontId="16" fillId="2" borderId="2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 wrapText="1"/>
    </xf>
    <xf numFmtId="166" fontId="5" fillId="2" borderId="10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6" fontId="5" fillId="0" borderId="16" xfId="0" applyNumberFormat="1" applyFont="1" applyBorder="1" applyAlignment="1">
      <alignment horizontal="center" vertical="center"/>
    </xf>
    <xf numFmtId="3" fontId="16" fillId="2" borderId="29" xfId="0" applyNumberFormat="1" applyFont="1" applyFill="1" applyBorder="1" applyAlignment="1">
      <alignment horizontal="center" vertical="center"/>
    </xf>
    <xf numFmtId="167" fontId="16" fillId="2" borderId="31" xfId="0" applyNumberFormat="1" applyFont="1" applyFill="1" applyBorder="1" applyAlignment="1">
      <alignment horizontal="center" vertical="center"/>
    </xf>
    <xf numFmtId="3" fontId="16" fillId="2" borderId="9" xfId="0" applyNumberFormat="1" applyFont="1" applyFill="1" applyBorder="1" applyAlignment="1">
      <alignment horizontal="center" vertical="center"/>
    </xf>
    <xf numFmtId="167" fontId="16" fillId="2" borderId="1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6" fontId="18" fillId="2" borderId="31" xfId="0" applyNumberFormat="1" applyFont="1" applyFill="1" applyBorder="1" applyAlignment="1">
      <alignment horizontal="center" vertical="center" wrapText="1"/>
    </xf>
    <xf numFmtId="166" fontId="18" fillId="2" borderId="10" xfId="0" applyNumberFormat="1" applyFont="1" applyFill="1" applyBorder="1" applyAlignment="1">
      <alignment horizontal="center" vertical="center" wrapText="1"/>
    </xf>
    <xf numFmtId="166" fontId="18" fillId="2" borderId="13" xfId="0" applyNumberFormat="1" applyFont="1" applyFill="1" applyBorder="1" applyAlignment="1">
      <alignment horizontal="center" vertical="center" wrapText="1"/>
    </xf>
    <xf numFmtId="166" fontId="18" fillId="2" borderId="32" xfId="0" applyNumberFormat="1" applyFont="1" applyFill="1" applyBorder="1" applyAlignment="1">
      <alignment horizontal="center" vertical="center" wrapText="1"/>
    </xf>
    <xf numFmtId="166" fontId="18" fillId="2" borderId="15" xfId="0" applyNumberFormat="1" applyFont="1" applyFill="1" applyBorder="1" applyAlignment="1">
      <alignment horizontal="center" vertical="center" wrapText="1"/>
    </xf>
    <xf numFmtId="166" fontId="18" fillId="2" borderId="16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66" fontId="17" fillId="0" borderId="27" xfId="0" applyNumberFormat="1" applyFont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2" fillId="2" borderId="31" xfId="0" applyNumberFormat="1" applyFont="1" applyFill="1" applyBorder="1" applyAlignment="1">
      <alignment horizontal="center" vertical="center"/>
    </xf>
    <xf numFmtId="166" fontId="5" fillId="2" borderId="29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/>
    </xf>
    <xf numFmtId="166" fontId="5" fillId="0" borderId="29" xfId="0" applyNumberFormat="1" applyFont="1" applyBorder="1" applyAlignment="1">
      <alignment horizontal="center" vertical="center" wrapText="1"/>
    </xf>
    <xf numFmtId="166" fontId="18" fillId="0" borderId="31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6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18" fillId="0" borderId="13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44" fontId="16" fillId="0" borderId="28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6" fontId="2" fillId="2" borderId="37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36" xfId="0" applyNumberFormat="1" applyFont="1" applyFill="1" applyBorder="1" applyAlignment="1">
      <alignment horizontal="center" vertical="center"/>
    </xf>
    <xf numFmtId="4" fontId="5" fillId="2" borderId="36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31" fillId="8" borderId="33" xfId="0" applyFont="1" applyFill="1" applyBorder="1" applyAlignment="1">
      <alignment vertical="center"/>
    </xf>
    <xf numFmtId="0" fontId="31" fillId="8" borderId="27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22" fillId="7" borderId="34" xfId="0" applyFont="1" applyFill="1" applyBorder="1" applyAlignment="1">
      <alignment horizontal="center" vertical="center"/>
    </xf>
    <xf numFmtId="0" fontId="112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12" fillId="6" borderId="0" xfId="0" applyFont="1" applyFill="1" applyAlignment="1">
      <alignment vertical="center"/>
    </xf>
    <xf numFmtId="0" fontId="112" fillId="6" borderId="40" xfId="0" applyFont="1" applyFill="1" applyBorder="1" applyAlignment="1">
      <alignment vertical="center"/>
    </xf>
    <xf numFmtId="44" fontId="113" fillId="0" borderId="39" xfId="1" applyFont="1" applyFill="1" applyBorder="1" applyAlignment="1">
      <alignment horizontal="right" vertical="center"/>
    </xf>
    <xf numFmtId="44" fontId="25" fillId="0" borderId="39" xfId="1" applyFont="1" applyFill="1" applyBorder="1" applyAlignment="1">
      <alignment horizontal="right" vertical="center"/>
    </xf>
    <xf numFmtId="44" fontId="113" fillId="6" borderId="73" xfId="1" applyFont="1" applyFill="1" applyBorder="1" applyAlignment="1">
      <alignment horizontal="right" vertical="center"/>
    </xf>
    <xf numFmtId="44" fontId="113" fillId="6" borderId="39" xfId="1" applyFont="1" applyFill="1" applyBorder="1" applyAlignment="1">
      <alignment horizontal="right" vertical="center"/>
    </xf>
    <xf numFmtId="44" fontId="113" fillId="6" borderId="77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/>
    </xf>
    <xf numFmtId="3" fontId="23" fillId="0" borderId="72" xfId="0" applyNumberFormat="1" applyFont="1" applyBorder="1" applyAlignment="1">
      <alignment horizontal="center" vertical="center"/>
    </xf>
    <xf numFmtId="3" fontId="23" fillId="0" borderId="69" xfId="0" applyNumberFormat="1" applyFont="1" applyBorder="1" applyAlignment="1">
      <alignment horizontal="center" vertical="center"/>
    </xf>
    <xf numFmtId="3" fontId="23" fillId="6" borderId="76" xfId="0" applyNumberFormat="1" applyFont="1" applyFill="1" applyBorder="1" applyAlignment="1">
      <alignment horizontal="center" vertical="center"/>
    </xf>
    <xf numFmtId="3" fontId="23" fillId="6" borderId="69" xfId="0" applyNumberFormat="1" applyFont="1" applyFill="1" applyBorder="1" applyAlignment="1">
      <alignment horizontal="center" vertical="center"/>
    </xf>
    <xf numFmtId="0" fontId="23" fillId="6" borderId="39" xfId="0" applyFont="1" applyFill="1" applyBorder="1" applyAlignment="1">
      <alignment horizontal="left" vertical="center" wrapText="1"/>
    </xf>
    <xf numFmtId="0" fontId="23" fillId="0" borderId="69" xfId="0" applyFont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 wrapText="1"/>
    </xf>
    <xf numFmtId="0" fontId="112" fillId="6" borderId="40" xfId="0" applyFont="1" applyFill="1" applyBorder="1" applyAlignment="1">
      <alignment horizontal="center" vertical="center"/>
    </xf>
    <xf numFmtId="0" fontId="111" fillId="87" borderId="2" xfId="0" applyFont="1" applyFill="1" applyBorder="1" applyAlignment="1">
      <alignment horizontal="center" vertical="center" wrapText="1"/>
    </xf>
    <xf numFmtId="44" fontId="113" fillId="87" borderId="73" xfId="1" applyFont="1" applyFill="1" applyBorder="1" applyAlignment="1">
      <alignment horizontal="center" vertical="center"/>
    </xf>
    <xf numFmtId="44" fontId="113" fillId="87" borderId="39" xfId="1" applyFont="1" applyFill="1" applyBorder="1" applyAlignment="1">
      <alignment horizontal="center" vertical="center"/>
    </xf>
    <xf numFmtId="44" fontId="113" fillId="87" borderId="77" xfId="1" applyFont="1" applyFill="1" applyBorder="1" applyAlignment="1">
      <alignment horizontal="center" vertical="center"/>
    </xf>
    <xf numFmtId="44" fontId="114" fillId="8" borderId="2" xfId="1" applyFont="1" applyFill="1" applyBorder="1" applyAlignment="1">
      <alignment horizontal="right" vertical="center"/>
    </xf>
    <xf numFmtId="44" fontId="25" fillId="87" borderId="39" xfId="1" applyFont="1" applyFill="1" applyBorder="1" applyAlignment="1">
      <alignment horizontal="right" vertical="center"/>
    </xf>
    <xf numFmtId="44" fontId="113" fillId="87" borderId="39" xfId="1" applyFont="1" applyFill="1" applyBorder="1" applyAlignment="1">
      <alignment horizontal="right" vertical="center"/>
    </xf>
    <xf numFmtId="44" fontId="1" fillId="0" borderId="0" xfId="0" applyNumberFormat="1" applyFont="1" applyAlignment="1">
      <alignment horizontal="center" vertical="center"/>
    </xf>
    <xf numFmtId="0" fontId="112" fillId="5" borderId="0" xfId="0" applyFont="1" applyFill="1" applyAlignment="1">
      <alignment horizontal="center" vertical="center"/>
    </xf>
    <xf numFmtId="44" fontId="113" fillId="87" borderId="73" xfId="1" applyFont="1" applyFill="1" applyBorder="1" applyAlignment="1">
      <alignment horizontal="right" vertical="center"/>
    </xf>
    <xf numFmtId="44" fontId="24" fillId="87" borderId="39" xfId="1" applyFont="1" applyFill="1" applyBorder="1" applyAlignment="1">
      <alignment horizontal="right" vertical="center"/>
    </xf>
    <xf numFmtId="0" fontId="23" fillId="6" borderId="40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21" fillId="6" borderId="71" xfId="0" applyFont="1" applyFill="1" applyBorder="1" applyAlignment="1">
      <alignment horizontal="center" vertical="center"/>
    </xf>
    <xf numFmtId="0" fontId="116" fillId="6" borderId="7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116" fillId="6" borderId="0" xfId="0" applyFont="1" applyFill="1" applyAlignment="1">
      <alignment vertical="center"/>
    </xf>
    <xf numFmtId="0" fontId="117" fillId="6" borderId="0" xfId="0" applyFont="1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115" fillId="6" borderId="0" xfId="0" applyFont="1" applyFill="1" applyAlignment="1">
      <alignment vertical="center"/>
    </xf>
    <xf numFmtId="44" fontId="113" fillId="6" borderId="81" xfId="1" applyFont="1" applyFill="1" applyBorder="1" applyAlignment="1">
      <alignment horizontal="right" vertical="center"/>
    </xf>
    <xf numFmtId="44" fontId="113" fillId="87" borderId="81" xfId="1" applyFont="1" applyFill="1" applyBorder="1" applyAlignment="1">
      <alignment horizontal="right" vertical="center"/>
    </xf>
    <xf numFmtId="9" fontId="0" fillId="6" borderId="0" xfId="1528" applyFont="1" applyFill="1" applyAlignment="1">
      <alignment vertical="center"/>
    </xf>
    <xf numFmtId="9" fontId="0" fillId="6" borderId="0" xfId="0" applyNumberFormat="1" applyFill="1" applyAlignment="1">
      <alignment vertical="center"/>
    </xf>
    <xf numFmtId="0" fontId="119" fillId="87" borderId="0" xfId="0" applyFont="1" applyFill="1" applyAlignment="1">
      <alignment vertical="center"/>
    </xf>
    <xf numFmtId="0" fontId="119" fillId="6" borderId="0" xfId="0" applyFont="1" applyFill="1" applyAlignment="1">
      <alignment vertical="center"/>
    </xf>
    <xf numFmtId="0" fontId="23" fillId="6" borderId="0" xfId="0" applyFont="1" applyFill="1" applyAlignment="1">
      <alignment horizontal="center" vertical="center"/>
    </xf>
    <xf numFmtId="44" fontId="0" fillId="0" borderId="0" xfId="0" applyNumberFormat="1" applyAlignment="1">
      <alignment vertical="center"/>
    </xf>
    <xf numFmtId="44" fontId="23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113" fillId="87" borderId="82" xfId="1" applyFont="1" applyFill="1" applyBorder="1" applyAlignment="1">
      <alignment horizontal="right" vertical="center"/>
    </xf>
    <xf numFmtId="0" fontId="111" fillId="87" borderId="33" xfId="0" applyFont="1" applyFill="1" applyBorder="1" applyAlignment="1">
      <alignment horizontal="center" vertical="center" wrapText="1"/>
    </xf>
    <xf numFmtId="44" fontId="113" fillId="6" borderId="72" xfId="1" applyFont="1" applyFill="1" applyBorder="1" applyAlignment="1">
      <alignment horizontal="right" vertical="center"/>
    </xf>
    <xf numFmtId="44" fontId="113" fillId="6" borderId="69" xfId="1" applyFont="1" applyFill="1" applyBorder="1" applyAlignment="1">
      <alignment horizontal="right" vertical="center"/>
    </xf>
    <xf numFmtId="44" fontId="24" fillId="87" borderId="75" xfId="1" applyFont="1" applyFill="1" applyBorder="1" applyAlignment="1">
      <alignment horizontal="right" vertical="center"/>
    </xf>
    <xf numFmtId="44" fontId="113" fillId="87" borderId="75" xfId="1" applyFont="1" applyFill="1" applyBorder="1" applyAlignment="1">
      <alignment horizontal="right" vertical="center"/>
    </xf>
    <xf numFmtId="44" fontId="25" fillId="87" borderId="82" xfId="1" applyFont="1" applyFill="1" applyBorder="1" applyAlignment="1">
      <alignment horizontal="right" vertical="center"/>
    </xf>
    <xf numFmtId="44" fontId="25" fillId="87" borderId="75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 wrapText="1"/>
    </xf>
    <xf numFmtId="44" fontId="113" fillId="87" borderId="74" xfId="1" applyFont="1" applyFill="1" applyBorder="1" applyAlignment="1">
      <alignment horizontal="center" vertical="center"/>
    </xf>
    <xf numFmtId="44" fontId="113" fillId="87" borderId="75" xfId="1" applyFont="1" applyFill="1" applyBorder="1" applyAlignment="1">
      <alignment horizontal="center" vertical="center"/>
    </xf>
    <xf numFmtId="44" fontId="113" fillId="87" borderId="78" xfId="1" applyFont="1" applyFill="1" applyBorder="1" applyAlignment="1">
      <alignment horizontal="center" vertical="center"/>
    </xf>
    <xf numFmtId="44" fontId="113" fillId="87" borderId="87" xfId="1" applyFont="1" applyFill="1" applyBorder="1" applyAlignment="1">
      <alignment horizontal="right" vertical="center"/>
    </xf>
    <xf numFmtId="44" fontId="113" fillId="87" borderId="74" xfId="1" applyFont="1" applyFill="1" applyBorder="1" applyAlignment="1">
      <alignment horizontal="right" vertical="center"/>
    </xf>
    <xf numFmtId="44" fontId="113" fillId="0" borderId="69" xfId="1" applyFont="1" applyFill="1" applyBorder="1" applyAlignment="1">
      <alignment horizontal="right" vertical="center"/>
    </xf>
    <xf numFmtId="44" fontId="113" fillId="6" borderId="88" xfId="1" applyFont="1" applyFill="1" applyBorder="1" applyAlignment="1">
      <alignment horizontal="right" vertical="center"/>
    </xf>
    <xf numFmtId="0" fontId="111" fillId="86" borderId="2" xfId="0" applyFont="1" applyFill="1" applyBorder="1" applyAlignment="1">
      <alignment horizontal="center" vertical="center"/>
    </xf>
    <xf numFmtId="0" fontId="23" fillId="0" borderId="89" xfId="0" applyFont="1" applyBorder="1" applyAlignment="1">
      <alignment horizontal="left" vertical="center" wrapText="1"/>
    </xf>
    <xf numFmtId="0" fontId="23" fillId="0" borderId="80" xfId="0" applyFont="1" applyBorder="1" applyAlignment="1">
      <alignment horizontal="left" vertical="center" wrapText="1"/>
    </xf>
    <xf numFmtId="0" fontId="23" fillId="0" borderId="86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 wrapText="1"/>
    </xf>
    <xf numFmtId="0" fontId="23" fillId="6" borderId="80" xfId="0" applyFont="1" applyFill="1" applyBorder="1" applyAlignment="1">
      <alignment horizontal="left" vertical="center" wrapText="1"/>
    </xf>
    <xf numFmtId="0" fontId="23" fillId="6" borderId="83" xfId="0" applyFont="1" applyFill="1" applyBorder="1" applyAlignment="1">
      <alignment horizontal="left" vertical="center"/>
    </xf>
    <xf numFmtId="0" fontId="23" fillId="6" borderId="92" xfId="0" applyFont="1" applyFill="1" applyBorder="1" applyAlignment="1">
      <alignment horizontal="left" vertical="center" wrapText="1"/>
    </xf>
    <xf numFmtId="0" fontId="23" fillId="6" borderId="93" xfId="0" applyFont="1" applyFill="1" applyBorder="1" applyAlignment="1">
      <alignment horizontal="left" vertical="center" wrapText="1"/>
    </xf>
    <xf numFmtId="0" fontId="23" fillId="6" borderId="80" xfId="0" applyFont="1" applyFill="1" applyBorder="1" applyAlignment="1">
      <alignment horizontal="center" vertical="center" wrapText="1"/>
    </xf>
    <xf numFmtId="0" fontId="23" fillId="6" borderId="93" xfId="0" applyFont="1" applyFill="1" applyBorder="1" applyAlignment="1">
      <alignment horizontal="center" vertical="center" wrapText="1"/>
    </xf>
    <xf numFmtId="0" fontId="23" fillId="6" borderId="80" xfId="0" applyFont="1" applyFill="1" applyBorder="1" applyAlignment="1">
      <alignment horizontal="center" vertical="center"/>
    </xf>
    <xf numFmtId="0" fontId="23" fillId="0" borderId="74" xfId="0" applyFont="1" applyBorder="1" applyAlignment="1">
      <alignment horizontal="left" vertical="center" wrapText="1"/>
    </xf>
    <xf numFmtId="0" fontId="23" fillId="0" borderId="75" xfId="0" applyFont="1" applyBorder="1" applyAlignment="1">
      <alignment horizontal="left" vertical="center" wrapText="1"/>
    </xf>
    <xf numFmtId="0" fontId="23" fillId="0" borderId="94" xfId="0" applyFont="1" applyBorder="1" applyAlignment="1">
      <alignment horizontal="center" vertical="center" wrapText="1"/>
    </xf>
    <xf numFmtId="0" fontId="23" fillId="0" borderId="95" xfId="0" applyFont="1" applyBorder="1" applyAlignment="1">
      <alignment horizontal="center" vertical="center" wrapText="1"/>
    </xf>
    <xf numFmtId="0" fontId="23" fillId="6" borderId="75" xfId="0" applyFont="1" applyFill="1" applyBorder="1" applyAlignment="1">
      <alignment horizontal="left" vertical="center" wrapText="1"/>
    </xf>
    <xf numFmtId="0" fontId="23" fillId="6" borderId="95" xfId="0" applyFont="1" applyFill="1" applyBorder="1" applyAlignment="1">
      <alignment horizontal="center" vertical="center" wrapText="1"/>
    </xf>
    <xf numFmtId="0" fontId="23" fillId="6" borderId="95" xfId="0" applyFont="1" applyFill="1" applyBorder="1" applyAlignment="1">
      <alignment horizontal="center" vertical="center"/>
    </xf>
    <xf numFmtId="0" fontId="120" fillId="0" borderId="0" xfId="0" applyFont="1" applyAlignment="1">
      <alignment horizontal="right" vertical="center"/>
    </xf>
    <xf numFmtId="14" fontId="121" fillId="0" borderId="0" xfId="0" applyNumberFormat="1" applyFont="1" applyAlignment="1">
      <alignment horizontal="right" vertical="center"/>
    </xf>
    <xf numFmtId="44" fontId="113" fillId="0" borderId="72" xfId="1" applyFont="1" applyFill="1" applyBorder="1" applyAlignment="1">
      <alignment horizontal="right" vertical="center"/>
    </xf>
    <xf numFmtId="44" fontId="113" fillId="0" borderId="76" xfId="1" applyFont="1" applyFill="1" applyBorder="1" applyAlignment="1">
      <alignment horizontal="right" vertical="center"/>
    </xf>
    <xf numFmtId="0" fontId="122" fillId="3" borderId="1" xfId="0" applyFont="1" applyFill="1" applyBorder="1" applyAlignment="1">
      <alignment horizontal="center" vertical="center"/>
    </xf>
    <xf numFmtId="0" fontId="0" fillId="88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44" fontId="1" fillId="0" borderId="1" xfId="0" applyNumberFormat="1" applyFont="1" applyBorder="1"/>
    <xf numFmtId="44" fontId="1" fillId="3" borderId="1" xfId="0" applyNumberFormat="1" applyFont="1" applyFill="1" applyBorder="1"/>
    <xf numFmtId="0" fontId="122" fillId="3" borderId="64" xfId="0" applyFont="1" applyFill="1" applyBorder="1" applyAlignment="1">
      <alignment horizontal="center" vertic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1" fillId="3" borderId="1" xfId="1" applyFont="1" applyFill="1" applyBorder="1"/>
    <xf numFmtId="0" fontId="0" fillId="0" borderId="97" xfId="0" applyBorder="1"/>
    <xf numFmtId="0" fontId="0" fillId="0" borderId="71" xfId="0" applyBorder="1"/>
    <xf numFmtId="0" fontId="122" fillId="3" borderId="10" xfId="0" applyFont="1" applyFill="1" applyBorder="1" applyAlignment="1">
      <alignment horizontal="center" vertical="center"/>
    </xf>
    <xf numFmtId="0" fontId="0" fillId="0" borderId="9" xfId="0" applyBorder="1"/>
    <xf numFmtId="44" fontId="0" fillId="0" borderId="10" xfId="1" applyFont="1" applyBorder="1"/>
    <xf numFmtId="0" fontId="0" fillId="0" borderId="11" xfId="0" applyBorder="1"/>
    <xf numFmtId="44" fontId="1" fillId="3" borderId="12" xfId="1" applyFont="1" applyFill="1" applyBorder="1"/>
    <xf numFmtId="44" fontId="1" fillId="3" borderId="13" xfId="1" applyFont="1" applyFill="1" applyBorder="1"/>
    <xf numFmtId="0" fontId="23" fillId="6" borderId="40" xfId="0" applyFont="1" applyFill="1" applyBorder="1" applyAlignment="1">
      <alignment horizontal="left" vertical="center"/>
    </xf>
    <xf numFmtId="44" fontId="27" fillId="7" borderId="101" xfId="1" applyFont="1" applyFill="1" applyBorder="1" applyAlignment="1">
      <alignment horizontal="center" vertical="center"/>
    </xf>
    <xf numFmtId="44" fontId="27" fillId="7" borderId="85" xfId="1" applyFont="1" applyFill="1" applyBorder="1" applyAlignment="1">
      <alignment horizontal="center" vertical="center"/>
    </xf>
    <xf numFmtId="44" fontId="27" fillId="7" borderId="102" xfId="1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4" fontId="16" fillId="0" borderId="1" xfId="1" applyFont="1" applyBorder="1" applyAlignment="1">
      <alignment horizontal="center"/>
    </xf>
    <xf numFmtId="44" fontId="124" fillId="86" borderId="1" xfId="0" applyNumberFormat="1" applyFont="1" applyFill="1" applyBorder="1"/>
    <xf numFmtId="44" fontId="113" fillId="6" borderId="83" xfId="1" applyFont="1" applyFill="1" applyBorder="1" applyAlignment="1">
      <alignment horizontal="right" vertical="center"/>
    </xf>
    <xf numFmtId="44" fontId="113" fillId="87" borderId="69" xfId="1" applyFont="1" applyFill="1" applyBorder="1" applyAlignment="1">
      <alignment horizontal="right" vertical="center"/>
    </xf>
    <xf numFmtId="0" fontId="111" fillId="3" borderId="2" xfId="0" applyFont="1" applyFill="1" applyBorder="1" applyAlignment="1">
      <alignment horizontal="center" vertical="center" wrapText="1"/>
    </xf>
    <xf numFmtId="44" fontId="113" fillId="3" borderId="39" xfId="1" applyFont="1" applyFill="1" applyBorder="1" applyAlignment="1">
      <alignment horizontal="right" vertical="center"/>
    </xf>
    <xf numFmtId="44" fontId="113" fillId="3" borderId="82" xfId="1" applyFont="1" applyFill="1" applyBorder="1" applyAlignment="1">
      <alignment horizontal="right" vertical="center"/>
    </xf>
    <xf numFmtId="44" fontId="113" fillId="3" borderId="81" xfId="1" applyFont="1" applyFill="1" applyBorder="1" applyAlignment="1">
      <alignment horizontal="right" vertical="center"/>
    </xf>
    <xf numFmtId="44" fontId="113" fillId="5" borderId="69" xfId="1" applyFont="1" applyFill="1" applyBorder="1" applyAlignment="1">
      <alignment horizontal="right" vertical="center"/>
    </xf>
    <xf numFmtId="44" fontId="113" fillId="5" borderId="39" xfId="1" applyFont="1" applyFill="1" applyBorder="1" applyAlignment="1">
      <alignment horizontal="right" vertical="center"/>
    </xf>
    <xf numFmtId="44" fontId="113" fillId="5" borderId="81" xfId="1" applyFont="1" applyFill="1" applyBorder="1" applyAlignment="1">
      <alignment horizontal="right" vertical="center"/>
    </xf>
    <xf numFmtId="44" fontId="113" fillId="5" borderId="82" xfId="1" applyFont="1" applyFill="1" applyBorder="1" applyAlignment="1">
      <alignment horizontal="right" vertical="center"/>
    </xf>
    <xf numFmtId="44" fontId="125" fillId="7" borderId="85" xfId="1" applyFont="1" applyFill="1" applyBorder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3" fillId="0" borderId="83" xfId="0" applyFont="1" applyBorder="1" applyAlignment="1">
      <alignment horizontal="center" vertical="center" wrapText="1"/>
    </xf>
    <xf numFmtId="0" fontId="23" fillId="6" borderId="83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126" fillId="0" borderId="0" xfId="0" applyFont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 wrapText="1"/>
    </xf>
    <xf numFmtId="44" fontId="127" fillId="0" borderId="0" xfId="1" applyFont="1" applyAlignment="1">
      <alignment horizontal="center" vertical="center" wrapText="1"/>
    </xf>
    <xf numFmtId="14" fontId="127" fillId="0" borderId="0" xfId="0" applyNumberFormat="1" applyFont="1" applyAlignment="1">
      <alignment horizontal="center" vertical="center" wrapText="1"/>
    </xf>
    <xf numFmtId="44" fontId="113" fillId="5" borderId="84" xfId="1" applyFont="1" applyFill="1" applyBorder="1" applyAlignment="1">
      <alignment vertical="center"/>
    </xf>
    <xf numFmtId="44" fontId="113" fillId="5" borderId="80" xfId="1" applyFont="1" applyFill="1" applyBorder="1" applyAlignment="1">
      <alignment vertical="center"/>
    </xf>
    <xf numFmtId="44" fontId="113" fillId="5" borderId="85" xfId="1" applyFont="1" applyFill="1" applyBorder="1" applyAlignment="1">
      <alignment vertical="center"/>
    </xf>
    <xf numFmtId="44" fontId="127" fillId="0" borderId="0" xfId="1" applyFont="1" applyFill="1" applyBorder="1" applyAlignment="1">
      <alignment horizontal="center" vertical="center" wrapText="1"/>
    </xf>
    <xf numFmtId="44" fontId="118" fillId="85" borderId="39" xfId="1" applyFont="1" applyFill="1" applyBorder="1" applyAlignment="1">
      <alignment horizontal="center" vertical="center"/>
    </xf>
    <xf numFmtId="44" fontId="118" fillId="85" borderId="75" xfId="1" applyFont="1" applyFill="1" applyBorder="1" applyAlignment="1">
      <alignment horizontal="center" vertical="center"/>
    </xf>
    <xf numFmtId="44" fontId="118" fillId="85" borderId="69" xfId="1" applyFont="1" applyFill="1" applyBorder="1" applyAlignment="1">
      <alignment horizontal="center" vertical="center"/>
    </xf>
    <xf numFmtId="44" fontId="118" fillId="85" borderId="72" xfId="1" applyFont="1" applyFill="1" applyBorder="1" applyAlignment="1">
      <alignment horizontal="center" vertical="center"/>
    </xf>
    <xf numFmtId="44" fontId="118" fillId="85" borderId="73" xfId="1" applyFont="1" applyFill="1" applyBorder="1" applyAlignment="1">
      <alignment horizontal="center" vertical="center"/>
    </xf>
    <xf numFmtId="44" fontId="118" fillId="85" borderId="74" xfId="1" applyFont="1" applyFill="1" applyBorder="1" applyAlignment="1">
      <alignment horizontal="center" vertical="center"/>
    </xf>
    <xf numFmtId="44" fontId="118" fillId="85" borderId="82" xfId="1" applyFont="1" applyFill="1" applyBorder="1" applyAlignment="1">
      <alignment horizontal="center" vertical="center"/>
    </xf>
    <xf numFmtId="44" fontId="118" fillId="85" borderId="80" xfId="1" applyFont="1" applyFill="1" applyBorder="1" applyAlignment="1">
      <alignment horizontal="center" vertical="center"/>
    </xf>
    <xf numFmtId="0" fontId="22" fillId="7" borderId="79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7" borderId="90" xfId="0" applyFont="1" applyFill="1" applyBorder="1" applyAlignment="1">
      <alignment horizontal="center" vertical="center"/>
    </xf>
    <xf numFmtId="0" fontId="22" fillId="7" borderId="91" xfId="0" applyFont="1" applyFill="1" applyBorder="1" applyAlignment="1">
      <alignment horizontal="center" vertical="center"/>
    </xf>
    <xf numFmtId="0" fontId="22" fillId="7" borderId="70" xfId="0" applyFont="1" applyFill="1" applyBorder="1" applyAlignment="1">
      <alignment horizontal="center" vertical="center"/>
    </xf>
    <xf numFmtId="0" fontId="22" fillId="7" borderId="40" xfId="0" applyFont="1" applyFill="1" applyBorder="1" applyAlignment="1">
      <alignment horizontal="center" vertical="center"/>
    </xf>
    <xf numFmtId="44" fontId="118" fillId="85" borderId="83" xfId="1" applyFont="1" applyFill="1" applyBorder="1" applyAlignment="1">
      <alignment horizontal="center" vertical="center"/>
    </xf>
    <xf numFmtId="44" fontId="118" fillId="85" borderId="84" xfId="1" applyFont="1" applyFill="1" applyBorder="1" applyAlignment="1">
      <alignment horizontal="center" vertical="center"/>
    </xf>
    <xf numFmtId="44" fontId="118" fillId="85" borderId="85" xfId="1" applyFont="1" applyFill="1" applyBorder="1" applyAlignment="1">
      <alignment horizontal="center" vertical="center"/>
    </xf>
    <xf numFmtId="44" fontId="113" fillId="6" borderId="69" xfId="1" applyFont="1" applyFill="1" applyBorder="1" applyAlignment="1">
      <alignment horizontal="center" vertical="center"/>
    </xf>
    <xf numFmtId="44" fontId="113" fillId="6" borderId="39" xfId="1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11" fillId="86" borderId="27" xfId="0" applyFont="1" applyFill="1" applyBorder="1" applyAlignment="1">
      <alignment horizontal="center" vertical="center"/>
    </xf>
    <xf numFmtId="0" fontId="111" fillId="86" borderId="33" xfId="0" applyFont="1" applyFill="1" applyBorder="1" applyAlignment="1">
      <alignment horizontal="center" vertical="center"/>
    </xf>
    <xf numFmtId="0" fontId="111" fillId="86" borderId="34" xfId="0" applyFont="1" applyFill="1" applyBorder="1" applyAlignment="1">
      <alignment horizontal="center" vertical="center"/>
    </xf>
    <xf numFmtId="44" fontId="113" fillId="5" borderId="84" xfId="1" applyFont="1" applyFill="1" applyBorder="1" applyAlignment="1">
      <alignment horizontal="center" vertical="center"/>
    </xf>
    <xf numFmtId="44" fontId="113" fillId="5" borderId="80" xfId="1" applyFont="1" applyFill="1" applyBorder="1" applyAlignment="1">
      <alignment horizontal="center" vertical="center"/>
    </xf>
    <xf numFmtId="44" fontId="113" fillId="5" borderId="85" xfId="1" applyFont="1" applyFill="1" applyBorder="1" applyAlignment="1">
      <alignment horizontal="center" vertical="center"/>
    </xf>
    <xf numFmtId="0" fontId="124" fillId="86" borderId="23" xfId="0" applyFont="1" applyFill="1" applyBorder="1" applyAlignment="1">
      <alignment horizontal="center"/>
    </xf>
    <xf numFmtId="0" fontId="124" fillId="86" borderId="26" xfId="0" applyFont="1" applyFill="1" applyBorder="1" applyAlignment="1">
      <alignment horizontal="center"/>
    </xf>
    <xf numFmtId="0" fontId="124" fillId="86" borderId="1" xfId="0" applyFont="1" applyFill="1" applyBorder="1" applyAlignment="1">
      <alignment horizontal="center"/>
    </xf>
    <xf numFmtId="0" fontId="122" fillId="3" borderId="64" xfId="0" applyFont="1" applyFill="1" applyBorder="1" applyAlignment="1">
      <alignment horizontal="center" vertical="center"/>
    </xf>
    <xf numFmtId="0" fontId="122" fillId="3" borderId="96" xfId="0" applyFont="1" applyFill="1" applyBorder="1" applyAlignment="1">
      <alignment horizontal="center" vertical="center"/>
    </xf>
    <xf numFmtId="17" fontId="122" fillId="3" borderId="64" xfId="0" applyNumberFormat="1" applyFont="1" applyFill="1" applyBorder="1" applyAlignment="1">
      <alignment horizontal="center" vertical="center"/>
    </xf>
    <xf numFmtId="0" fontId="122" fillId="3" borderId="100" xfId="0" applyFont="1" applyFill="1" applyBorder="1" applyAlignment="1">
      <alignment horizontal="center" vertical="center"/>
    </xf>
    <xf numFmtId="0" fontId="122" fillId="3" borderId="35" xfId="0" applyFont="1" applyFill="1" applyBorder="1" applyAlignment="1">
      <alignment horizontal="center" vertical="center"/>
    </xf>
    <xf numFmtId="0" fontId="122" fillId="3" borderId="29" xfId="0" applyFont="1" applyFill="1" applyBorder="1" applyAlignment="1">
      <alignment horizontal="center" vertical="center"/>
    </xf>
    <xf numFmtId="0" fontId="123" fillId="0" borderId="70" xfId="0" applyFont="1" applyBorder="1" applyAlignment="1">
      <alignment horizontal="center" vertical="center"/>
    </xf>
    <xf numFmtId="0" fontId="123" fillId="0" borderId="90" xfId="0" applyFont="1" applyBorder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3" fillId="0" borderId="98" xfId="0" applyFont="1" applyBorder="1" applyAlignment="1">
      <alignment horizontal="center" vertical="center"/>
    </xf>
    <xf numFmtId="0" fontId="123" fillId="0" borderId="26" xfId="0" applyFont="1" applyBorder="1" applyAlignment="1">
      <alignment horizontal="center" vertical="center"/>
    </xf>
    <xf numFmtId="0" fontId="123" fillId="0" borderId="99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536">
    <cellStyle name="0.0" xfId="74" xr:uid="{00000000-0005-0000-0000-000000000000}"/>
    <cellStyle name="20% - Accent1" xfId="75" xr:uid="{00000000-0005-0000-0000-000001000000}"/>
    <cellStyle name="20% - Accent1 2" xfId="982" xr:uid="{00000000-0005-0000-0000-000002000000}"/>
    <cellStyle name="20% - Accent2" xfId="76" xr:uid="{00000000-0005-0000-0000-000003000000}"/>
    <cellStyle name="20% - Accent2 2" xfId="983" xr:uid="{00000000-0005-0000-0000-000004000000}"/>
    <cellStyle name="20% - Accent3" xfId="77" xr:uid="{00000000-0005-0000-0000-000005000000}"/>
    <cellStyle name="20% - Accent3 2" xfId="984" xr:uid="{00000000-0005-0000-0000-000006000000}"/>
    <cellStyle name="20% - Accent4" xfId="78" xr:uid="{00000000-0005-0000-0000-000007000000}"/>
    <cellStyle name="20% - Accent4 2" xfId="985" xr:uid="{00000000-0005-0000-0000-000008000000}"/>
    <cellStyle name="20% - Accent5" xfId="79" xr:uid="{00000000-0005-0000-0000-000009000000}"/>
    <cellStyle name="20% - Accent5 2" xfId="986" xr:uid="{00000000-0005-0000-0000-00000A000000}"/>
    <cellStyle name="20% - Accent6" xfId="80" xr:uid="{00000000-0005-0000-0000-00000B000000}"/>
    <cellStyle name="20% - Ênfase1" xfId="23" builtinId="30" customBuiltin="1"/>
    <cellStyle name="20% - Ênfase1 2" xfId="81" xr:uid="{00000000-0005-0000-0000-00000D000000}"/>
    <cellStyle name="20% - Ênfase1 3" xfId="630" xr:uid="{00000000-0005-0000-0000-00000E000000}"/>
    <cellStyle name="20% - Ênfase1 4" xfId="479" xr:uid="{00000000-0005-0000-0000-00000F000000}"/>
    <cellStyle name="20% - Ênfase1 4 2" xfId="987" xr:uid="{00000000-0005-0000-0000-000010000000}"/>
    <cellStyle name="20% - Ênfase2" xfId="26" builtinId="34" customBuiltin="1"/>
    <cellStyle name="20% - Ênfase2 2" xfId="82" xr:uid="{00000000-0005-0000-0000-000012000000}"/>
    <cellStyle name="20% - Ênfase2 3" xfId="632" xr:uid="{00000000-0005-0000-0000-000013000000}"/>
    <cellStyle name="20% - Ênfase2 4" xfId="481" xr:uid="{00000000-0005-0000-0000-000014000000}"/>
    <cellStyle name="20% - Ênfase2 4 2" xfId="988" xr:uid="{00000000-0005-0000-0000-000015000000}"/>
    <cellStyle name="20% - Ênfase3" xfId="29" builtinId="38" customBuiltin="1"/>
    <cellStyle name="20% - Ênfase3 2" xfId="83" xr:uid="{00000000-0005-0000-0000-000017000000}"/>
    <cellStyle name="20% - Ênfase3 3" xfId="634" xr:uid="{00000000-0005-0000-0000-000018000000}"/>
    <cellStyle name="20% - Ênfase3 4" xfId="483" xr:uid="{00000000-0005-0000-0000-000019000000}"/>
    <cellStyle name="20% - Ênfase3 4 2" xfId="989" xr:uid="{00000000-0005-0000-0000-00001A000000}"/>
    <cellStyle name="20% - Ênfase4" xfId="32" builtinId="42" customBuiltin="1"/>
    <cellStyle name="20% - Ênfase4 2" xfId="84" xr:uid="{00000000-0005-0000-0000-00001C000000}"/>
    <cellStyle name="20% - Ênfase4 3" xfId="636" xr:uid="{00000000-0005-0000-0000-00001D000000}"/>
    <cellStyle name="20% - Ênfase4 4" xfId="486" xr:uid="{00000000-0005-0000-0000-00001E000000}"/>
    <cellStyle name="20% - Ênfase4 4 2" xfId="990" xr:uid="{00000000-0005-0000-0000-00001F000000}"/>
    <cellStyle name="20% - Ênfase5" xfId="35" builtinId="46" customBuiltin="1"/>
    <cellStyle name="20% - Ênfase5 2" xfId="85" xr:uid="{00000000-0005-0000-0000-000021000000}"/>
    <cellStyle name="20% - Ênfase5 3" xfId="638" xr:uid="{00000000-0005-0000-0000-000022000000}"/>
    <cellStyle name="20% - Ênfase5 4" xfId="488" xr:uid="{00000000-0005-0000-0000-000023000000}"/>
    <cellStyle name="20% - Ênfase5 4 2" xfId="991" xr:uid="{00000000-0005-0000-0000-000024000000}"/>
    <cellStyle name="20% - Ênfase6" xfId="38" builtinId="50" customBuiltin="1"/>
    <cellStyle name="20% - Ênfase6 2" xfId="86" xr:uid="{00000000-0005-0000-0000-000026000000}"/>
    <cellStyle name="20% - Ênfase6 3" xfId="640" xr:uid="{00000000-0005-0000-0000-000027000000}"/>
    <cellStyle name="20% - Ênfase6 4" xfId="490" xr:uid="{00000000-0005-0000-0000-000028000000}"/>
    <cellStyle name="20% - Ênfase6 4 2" xfId="992" xr:uid="{00000000-0005-0000-0000-000029000000}"/>
    <cellStyle name="40% - Accent1" xfId="87" xr:uid="{00000000-0005-0000-0000-00002A000000}"/>
    <cellStyle name="40% - Accent2" xfId="88" xr:uid="{00000000-0005-0000-0000-00002B000000}"/>
    <cellStyle name="40% - Accent2 2" xfId="993" xr:uid="{00000000-0005-0000-0000-00002C000000}"/>
    <cellStyle name="40% - Accent3" xfId="89" xr:uid="{00000000-0005-0000-0000-00002D000000}"/>
    <cellStyle name="40% - Accent3 2" xfId="994" xr:uid="{00000000-0005-0000-0000-00002E000000}"/>
    <cellStyle name="40% - Accent4" xfId="90" xr:uid="{00000000-0005-0000-0000-00002F000000}"/>
    <cellStyle name="40% - Accent5" xfId="91" xr:uid="{00000000-0005-0000-0000-000030000000}"/>
    <cellStyle name="40% - Accent6" xfId="92" xr:uid="{00000000-0005-0000-0000-000031000000}"/>
    <cellStyle name="40% - Ênfase1" xfId="24" builtinId="31" customBuiltin="1"/>
    <cellStyle name="40% - Ênfase1 2" xfId="93" xr:uid="{00000000-0005-0000-0000-000033000000}"/>
    <cellStyle name="40% - Ênfase1 3" xfId="631" xr:uid="{00000000-0005-0000-0000-000034000000}"/>
    <cellStyle name="40% - Ênfase1 4" xfId="480" xr:uid="{00000000-0005-0000-0000-000035000000}"/>
    <cellStyle name="40% - Ênfase1 4 2" xfId="995" xr:uid="{00000000-0005-0000-0000-000036000000}"/>
    <cellStyle name="40% - Ênfase2" xfId="27" builtinId="35" customBuiltin="1"/>
    <cellStyle name="40% - Ênfase2 2" xfId="94" xr:uid="{00000000-0005-0000-0000-000038000000}"/>
    <cellStyle name="40% - Ênfase2 3" xfId="633" xr:uid="{00000000-0005-0000-0000-000039000000}"/>
    <cellStyle name="40% - Ênfase2 4" xfId="482" xr:uid="{00000000-0005-0000-0000-00003A000000}"/>
    <cellStyle name="40% - Ênfase2 4 2" xfId="996" xr:uid="{00000000-0005-0000-0000-00003B000000}"/>
    <cellStyle name="40% - Ênfase3" xfId="30" builtinId="39" customBuiltin="1"/>
    <cellStyle name="40% - Ênfase3 2" xfId="95" xr:uid="{00000000-0005-0000-0000-00003D000000}"/>
    <cellStyle name="40% - Ênfase3 3" xfId="635" xr:uid="{00000000-0005-0000-0000-00003E000000}"/>
    <cellStyle name="40% - Ênfase3 4" xfId="484" xr:uid="{00000000-0005-0000-0000-00003F000000}"/>
    <cellStyle name="40% - Ênfase3 4 2" xfId="997" xr:uid="{00000000-0005-0000-0000-000040000000}"/>
    <cellStyle name="40% - Ênfase4" xfId="33" builtinId="43" customBuiltin="1"/>
    <cellStyle name="40% - Ênfase4 2" xfId="96" xr:uid="{00000000-0005-0000-0000-000042000000}"/>
    <cellStyle name="40% - Ênfase4 3" xfId="637" xr:uid="{00000000-0005-0000-0000-000043000000}"/>
    <cellStyle name="40% - Ênfase4 4" xfId="487" xr:uid="{00000000-0005-0000-0000-000044000000}"/>
    <cellStyle name="40% - Ênfase4 4 2" xfId="998" xr:uid="{00000000-0005-0000-0000-000045000000}"/>
    <cellStyle name="40% - Ênfase5" xfId="36" builtinId="47" customBuiltin="1"/>
    <cellStyle name="40% - Ênfase5 2" xfId="97" xr:uid="{00000000-0005-0000-0000-000047000000}"/>
    <cellStyle name="40% - Ênfase5 3" xfId="639" xr:uid="{00000000-0005-0000-0000-000048000000}"/>
    <cellStyle name="40% - Ênfase5 4" xfId="489" xr:uid="{00000000-0005-0000-0000-000049000000}"/>
    <cellStyle name="40% - Ênfase5 4 2" xfId="999" xr:uid="{00000000-0005-0000-0000-00004A000000}"/>
    <cellStyle name="40% - Ênfase6" xfId="39" builtinId="51" customBuiltin="1"/>
    <cellStyle name="40% - Ênfase6 2" xfId="98" xr:uid="{00000000-0005-0000-0000-00004C000000}"/>
    <cellStyle name="40% - Ênfase6 3" xfId="641" xr:uid="{00000000-0005-0000-0000-00004D000000}"/>
    <cellStyle name="40% - Ênfase6 4" xfId="491" xr:uid="{00000000-0005-0000-0000-00004E000000}"/>
    <cellStyle name="40% - Ênfase6 4 2" xfId="1000" xr:uid="{00000000-0005-0000-0000-00004F000000}"/>
    <cellStyle name="60% - Accent1" xfId="99" xr:uid="{00000000-0005-0000-0000-000050000000}"/>
    <cellStyle name="60% - Accent2" xfId="100" xr:uid="{00000000-0005-0000-0000-000051000000}"/>
    <cellStyle name="60% - Accent3" xfId="101" xr:uid="{00000000-0005-0000-0000-000052000000}"/>
    <cellStyle name="60% - Accent3 2" xfId="1001" xr:uid="{00000000-0005-0000-0000-000053000000}"/>
    <cellStyle name="60% - Accent4" xfId="102" xr:uid="{00000000-0005-0000-0000-000054000000}"/>
    <cellStyle name="60% - Accent4 2" xfId="1002" xr:uid="{00000000-0005-0000-0000-000055000000}"/>
    <cellStyle name="60% - Accent5" xfId="103" xr:uid="{00000000-0005-0000-0000-000056000000}"/>
    <cellStyle name="60% - Accent6" xfId="104" xr:uid="{00000000-0005-0000-0000-000057000000}"/>
    <cellStyle name="60% - Accent6 2" xfId="1003" xr:uid="{00000000-0005-0000-0000-000058000000}"/>
    <cellStyle name="60% - Ênfase1 2" xfId="105" xr:uid="{00000000-0005-0000-0000-000059000000}"/>
    <cellStyle name="60% - Ênfase1 3" xfId="1004" xr:uid="{00000000-0005-0000-0000-00005A000000}"/>
    <cellStyle name="60% - Ênfase1 4" xfId="1005" xr:uid="{00000000-0005-0000-0000-00005B000000}"/>
    <cellStyle name="60% - Ênfase1 5" xfId="49" xr:uid="{00000000-0005-0000-0000-00005C000000}"/>
    <cellStyle name="60% - Ênfase2 2" xfId="106" xr:uid="{00000000-0005-0000-0000-00005D000000}"/>
    <cellStyle name="60% - Ênfase2 3" xfId="1006" xr:uid="{00000000-0005-0000-0000-00005E000000}"/>
    <cellStyle name="60% - Ênfase2 4" xfId="1007" xr:uid="{00000000-0005-0000-0000-00005F000000}"/>
    <cellStyle name="60% - Ênfase2 5" xfId="50" xr:uid="{00000000-0005-0000-0000-000060000000}"/>
    <cellStyle name="60% - Ênfase3 2" xfId="107" xr:uid="{00000000-0005-0000-0000-000061000000}"/>
    <cellStyle name="60% - Ênfase3 3" xfId="1008" xr:uid="{00000000-0005-0000-0000-000062000000}"/>
    <cellStyle name="60% - Ênfase3 4" xfId="1009" xr:uid="{00000000-0005-0000-0000-000063000000}"/>
    <cellStyle name="60% - Ênfase3 5" xfId="51" xr:uid="{00000000-0005-0000-0000-000064000000}"/>
    <cellStyle name="60% - Ênfase4 2" xfId="108" xr:uid="{00000000-0005-0000-0000-000065000000}"/>
    <cellStyle name="60% - Ênfase4 3" xfId="1010" xr:uid="{00000000-0005-0000-0000-000066000000}"/>
    <cellStyle name="60% - Ênfase4 37" xfId="1011" xr:uid="{00000000-0005-0000-0000-000067000000}"/>
    <cellStyle name="60% - Ênfase4 4" xfId="1012" xr:uid="{00000000-0005-0000-0000-000068000000}"/>
    <cellStyle name="60% - Ênfase4 5" xfId="52" xr:uid="{00000000-0005-0000-0000-000069000000}"/>
    <cellStyle name="60% - Ênfase5 2" xfId="109" xr:uid="{00000000-0005-0000-0000-00006A000000}"/>
    <cellStyle name="60% - Ênfase5 3" xfId="1013" xr:uid="{00000000-0005-0000-0000-00006B000000}"/>
    <cellStyle name="60% - Ênfase5 4" xfId="1014" xr:uid="{00000000-0005-0000-0000-00006C000000}"/>
    <cellStyle name="60% - Ênfase5 5" xfId="53" xr:uid="{00000000-0005-0000-0000-00006D000000}"/>
    <cellStyle name="60% - Ênfase6 2" xfId="110" xr:uid="{00000000-0005-0000-0000-00006E000000}"/>
    <cellStyle name="60% - Ênfase6 3" xfId="1015" xr:uid="{00000000-0005-0000-0000-00006F000000}"/>
    <cellStyle name="60% - Ênfase6 4" xfId="1016" xr:uid="{00000000-0005-0000-0000-000070000000}"/>
    <cellStyle name="60% - Ênfase6 5" xfId="54" xr:uid="{00000000-0005-0000-0000-000071000000}"/>
    <cellStyle name="Accent1" xfId="111" xr:uid="{00000000-0005-0000-0000-000072000000}"/>
    <cellStyle name="Accent2" xfId="112" xr:uid="{00000000-0005-0000-0000-000073000000}"/>
    <cellStyle name="Accent2 2" xfId="1017" xr:uid="{00000000-0005-0000-0000-000074000000}"/>
    <cellStyle name="Accent3" xfId="113" xr:uid="{00000000-0005-0000-0000-000075000000}"/>
    <cellStyle name="Accent3 2" xfId="1018" xr:uid="{00000000-0005-0000-0000-000076000000}"/>
    <cellStyle name="Accent4" xfId="114" xr:uid="{00000000-0005-0000-0000-000077000000}"/>
    <cellStyle name="Accent5" xfId="115" xr:uid="{00000000-0005-0000-0000-000078000000}"/>
    <cellStyle name="Accent6" xfId="116" xr:uid="{00000000-0005-0000-0000-000079000000}"/>
    <cellStyle name="Accent6 2" xfId="1019" xr:uid="{00000000-0005-0000-0000-00007A000000}"/>
    <cellStyle name="Bad" xfId="117" xr:uid="{00000000-0005-0000-0000-00007B000000}"/>
    <cellStyle name="Bad 2" xfId="1020" xr:uid="{00000000-0005-0000-0000-00007C000000}"/>
    <cellStyle name="Bom" xfId="11" builtinId="26" customBuiltin="1"/>
    <cellStyle name="Bom 2" xfId="118" xr:uid="{00000000-0005-0000-0000-00007E000000}"/>
    <cellStyle name="Bom 3" xfId="1021" xr:uid="{00000000-0005-0000-0000-00007F000000}"/>
    <cellStyle name="Bom 4" xfId="1022" xr:uid="{00000000-0005-0000-0000-000080000000}"/>
    <cellStyle name="Cabe‡alho 1" xfId="1023" xr:uid="{00000000-0005-0000-0000-000081000000}"/>
    <cellStyle name="Cabe‡alho 2" xfId="1024" xr:uid="{00000000-0005-0000-0000-000082000000}"/>
    <cellStyle name="CABEÇALHO" xfId="1025" xr:uid="{00000000-0005-0000-0000-000083000000}"/>
    <cellStyle name="Cabeçalho 1" xfId="46" xr:uid="{00000000-0005-0000-0000-000084000000}"/>
    <cellStyle name="Cabeçalho 2" xfId="47" xr:uid="{00000000-0005-0000-0000-000085000000}"/>
    <cellStyle name="Calculation" xfId="119" xr:uid="{00000000-0005-0000-0000-000086000000}"/>
    <cellStyle name="Calculation 2" xfId="645" xr:uid="{00000000-0005-0000-0000-000087000000}"/>
    <cellStyle name="Calculation 2 2" xfId="722" xr:uid="{00000000-0005-0000-0000-000088000000}"/>
    <cellStyle name="Calculation 2 2 2" xfId="929" xr:uid="{00000000-0005-0000-0000-000089000000}"/>
    <cellStyle name="Calculation 2 3" xfId="580" xr:uid="{00000000-0005-0000-0000-00008A000000}"/>
    <cellStyle name="Calculation 2 3 2" xfId="879" xr:uid="{00000000-0005-0000-0000-00008B000000}"/>
    <cellStyle name="Calculation 2 4" xfId="608" xr:uid="{00000000-0005-0000-0000-00008C000000}"/>
    <cellStyle name="Calculation 2 4 2" xfId="895" xr:uid="{00000000-0005-0000-0000-00008D000000}"/>
    <cellStyle name="Calculation 2 5" xfId="739" xr:uid="{00000000-0005-0000-0000-00008E000000}"/>
    <cellStyle name="Calculation 2 5 2" xfId="945" xr:uid="{00000000-0005-0000-0000-00008F000000}"/>
    <cellStyle name="Calculation 2 6" xfId="560" xr:uid="{00000000-0005-0000-0000-000090000000}"/>
    <cellStyle name="Calculation 2 6 2" xfId="870" xr:uid="{00000000-0005-0000-0000-000091000000}"/>
    <cellStyle name="Calculation 2 7" xfId="557" xr:uid="{00000000-0005-0000-0000-000092000000}"/>
    <cellStyle name="Calculation 2 7 2" xfId="868" xr:uid="{00000000-0005-0000-0000-000093000000}"/>
    <cellStyle name="Calculation 2 8" xfId="902" xr:uid="{00000000-0005-0000-0000-000094000000}"/>
    <cellStyle name="Calculation 3" xfId="513" xr:uid="{00000000-0005-0000-0000-000095000000}"/>
    <cellStyle name="Calculation 3 2" xfId="844" xr:uid="{00000000-0005-0000-0000-000096000000}"/>
    <cellStyle name="Calculation 4" xfId="501" xr:uid="{00000000-0005-0000-0000-000097000000}"/>
    <cellStyle name="Calculation 4 2" xfId="834" xr:uid="{00000000-0005-0000-0000-000098000000}"/>
    <cellStyle name="Calculation 5" xfId="550" xr:uid="{00000000-0005-0000-0000-000099000000}"/>
    <cellStyle name="Calculation 5 2" xfId="866" xr:uid="{00000000-0005-0000-0000-00009A000000}"/>
    <cellStyle name="Calculation 6" xfId="509" xr:uid="{00000000-0005-0000-0000-00009B000000}"/>
    <cellStyle name="Calculation 6 2" xfId="840" xr:uid="{00000000-0005-0000-0000-00009C000000}"/>
    <cellStyle name="Calculation 7" xfId="605" xr:uid="{00000000-0005-0000-0000-00009D000000}"/>
    <cellStyle name="Calculation 7 2" xfId="894" xr:uid="{00000000-0005-0000-0000-00009E000000}"/>
    <cellStyle name="Calculation 8" xfId="788" xr:uid="{00000000-0005-0000-0000-00009F000000}"/>
    <cellStyle name="Calculation 8 2" xfId="970" xr:uid="{00000000-0005-0000-0000-0000A0000000}"/>
    <cellStyle name="Calculation 9" xfId="811" xr:uid="{00000000-0005-0000-0000-0000A1000000}"/>
    <cellStyle name="Cálculo" xfId="15" builtinId="22" customBuiltin="1"/>
    <cellStyle name="Cálculo 2" xfId="120" xr:uid="{00000000-0005-0000-0000-0000A3000000}"/>
    <cellStyle name="Cálculo 2 2" xfId="646" xr:uid="{00000000-0005-0000-0000-0000A4000000}"/>
    <cellStyle name="Cálculo 2 2 2" xfId="723" xr:uid="{00000000-0005-0000-0000-0000A5000000}"/>
    <cellStyle name="Cálculo 2 2 2 2" xfId="930" xr:uid="{00000000-0005-0000-0000-0000A6000000}"/>
    <cellStyle name="Cálculo 2 2 3" xfId="581" xr:uid="{00000000-0005-0000-0000-0000A7000000}"/>
    <cellStyle name="Cálculo 2 2 3 2" xfId="880" xr:uid="{00000000-0005-0000-0000-0000A8000000}"/>
    <cellStyle name="Cálculo 2 2 4" xfId="699" xr:uid="{00000000-0005-0000-0000-0000A9000000}"/>
    <cellStyle name="Cálculo 2 2 4 2" xfId="913" xr:uid="{00000000-0005-0000-0000-0000AA000000}"/>
    <cellStyle name="Cálculo 2 2 5" xfId="695" xr:uid="{00000000-0005-0000-0000-0000AB000000}"/>
    <cellStyle name="Cálculo 2 2 5 2" xfId="911" xr:uid="{00000000-0005-0000-0000-0000AC000000}"/>
    <cellStyle name="Cálculo 2 2 6" xfId="579" xr:uid="{00000000-0005-0000-0000-0000AD000000}"/>
    <cellStyle name="Cálculo 2 2 6 2" xfId="878" xr:uid="{00000000-0005-0000-0000-0000AE000000}"/>
    <cellStyle name="Cálculo 2 2 7" xfId="538" xr:uid="{00000000-0005-0000-0000-0000AF000000}"/>
    <cellStyle name="Cálculo 2 2 7 2" xfId="863" xr:uid="{00000000-0005-0000-0000-0000B0000000}"/>
    <cellStyle name="Cálculo 2 2 8" xfId="903" xr:uid="{00000000-0005-0000-0000-0000B1000000}"/>
    <cellStyle name="Cálculo 2 3" xfId="514" xr:uid="{00000000-0005-0000-0000-0000B2000000}"/>
    <cellStyle name="Cálculo 2 3 2" xfId="845" xr:uid="{00000000-0005-0000-0000-0000B3000000}"/>
    <cellStyle name="Cálculo 2 4" xfId="502" xr:uid="{00000000-0005-0000-0000-0000B4000000}"/>
    <cellStyle name="Cálculo 2 4 2" xfId="835" xr:uid="{00000000-0005-0000-0000-0000B5000000}"/>
    <cellStyle name="Cálculo 2 5" xfId="548" xr:uid="{00000000-0005-0000-0000-0000B6000000}"/>
    <cellStyle name="Cálculo 2 5 2" xfId="864" xr:uid="{00000000-0005-0000-0000-0000B7000000}"/>
    <cellStyle name="Cálculo 2 6" xfId="626" xr:uid="{00000000-0005-0000-0000-0000B8000000}"/>
    <cellStyle name="Cálculo 2 6 2" xfId="899" xr:uid="{00000000-0005-0000-0000-0000B9000000}"/>
    <cellStyle name="Cálculo 2 7" xfId="713" xr:uid="{00000000-0005-0000-0000-0000BA000000}"/>
    <cellStyle name="Cálculo 2 7 2" xfId="923" xr:uid="{00000000-0005-0000-0000-0000BB000000}"/>
    <cellStyle name="Cálculo 2 8" xfId="499" xr:uid="{00000000-0005-0000-0000-0000BC000000}"/>
    <cellStyle name="Cálculo 2 8 2" xfId="832" xr:uid="{00000000-0005-0000-0000-0000BD000000}"/>
    <cellStyle name="Cálculo 2 9" xfId="812" xr:uid="{00000000-0005-0000-0000-0000BE000000}"/>
    <cellStyle name="Cálculo 3" xfId="1026" xr:uid="{00000000-0005-0000-0000-0000BF000000}"/>
    <cellStyle name="Cálculo 4" xfId="1027" xr:uid="{00000000-0005-0000-0000-0000C0000000}"/>
    <cellStyle name="Cálculo 68" xfId="1028" xr:uid="{00000000-0005-0000-0000-0000C1000000}"/>
    <cellStyle name="Célula de Verificação" xfId="17" builtinId="23" customBuiltin="1"/>
    <cellStyle name="Célula de Verificação 2" xfId="121" xr:uid="{00000000-0005-0000-0000-0000C3000000}"/>
    <cellStyle name="Célula de Verificação 2 2" xfId="813" xr:uid="{00000000-0005-0000-0000-0000C4000000}"/>
    <cellStyle name="Célula de Verificação 3" xfId="1029" xr:uid="{00000000-0005-0000-0000-0000C5000000}"/>
    <cellStyle name="Célula de Verificação 4" xfId="1030" xr:uid="{00000000-0005-0000-0000-0000C6000000}"/>
    <cellStyle name="Célula de Verificação 41" xfId="1031" xr:uid="{00000000-0005-0000-0000-0000C7000000}"/>
    <cellStyle name="Célula Vinculada" xfId="16" builtinId="24" customBuiltin="1"/>
    <cellStyle name="Célula Vinculada 2" xfId="122" xr:uid="{00000000-0005-0000-0000-0000C9000000}"/>
    <cellStyle name="Célula Vinculada 3" xfId="1032" xr:uid="{00000000-0005-0000-0000-0000CA000000}"/>
    <cellStyle name="Célula Vinculada 4" xfId="1033" xr:uid="{00000000-0005-0000-0000-0000CB000000}"/>
    <cellStyle name="Check Cell" xfId="123" xr:uid="{00000000-0005-0000-0000-0000CC000000}"/>
    <cellStyle name="Check Cell 2" xfId="814" xr:uid="{00000000-0005-0000-0000-0000CD000000}"/>
    <cellStyle name="Comma" xfId="124" xr:uid="{00000000-0005-0000-0000-0000CE000000}"/>
    <cellStyle name="Comma 2" xfId="125" xr:uid="{00000000-0005-0000-0000-0000CF000000}"/>
    <cellStyle name="Comma 2 2" xfId="126" xr:uid="{00000000-0005-0000-0000-0000D0000000}"/>
    <cellStyle name="Comma 3" xfId="127" xr:uid="{00000000-0005-0000-0000-0000D1000000}"/>
    <cellStyle name="Comma 3 2" xfId="128" xr:uid="{00000000-0005-0000-0000-0000D2000000}"/>
    <cellStyle name="Comma 3_1a ADEQUAÇÃO UT 03-003-2007 NOV-08" xfId="129" xr:uid="{00000000-0005-0000-0000-0000D3000000}"/>
    <cellStyle name="Comma 4" xfId="130" xr:uid="{00000000-0005-0000-0000-0000D4000000}"/>
    <cellStyle name="Comma 5" xfId="131" xr:uid="{00000000-0005-0000-0000-0000D5000000}"/>
    <cellStyle name="Comma 5 2" xfId="647" xr:uid="{00000000-0005-0000-0000-0000D6000000}"/>
    <cellStyle name="Comma 5 3" xfId="517" xr:uid="{00000000-0005-0000-0000-0000D7000000}"/>
    <cellStyle name="Comma0" xfId="132" xr:uid="{00000000-0005-0000-0000-0000D8000000}"/>
    <cellStyle name="Comma0 - Modelo1" xfId="1034" xr:uid="{00000000-0005-0000-0000-0000D9000000}"/>
    <cellStyle name="Comma0 - Style1" xfId="1035" xr:uid="{00000000-0005-0000-0000-0000DA000000}"/>
    <cellStyle name="Comma1 - Modelo2" xfId="1036" xr:uid="{00000000-0005-0000-0000-0000DB000000}"/>
    <cellStyle name="Comma1 - Style2" xfId="1037" xr:uid="{00000000-0005-0000-0000-0000DC000000}"/>
    <cellStyle name="Currency" xfId="133" xr:uid="{00000000-0005-0000-0000-0000DD000000}"/>
    <cellStyle name="Currency [0]_1995" xfId="1038" xr:uid="{00000000-0005-0000-0000-0000DE000000}"/>
    <cellStyle name="Currency 2" xfId="134" xr:uid="{00000000-0005-0000-0000-0000DF000000}"/>
    <cellStyle name="Currency 2 2" xfId="135" xr:uid="{00000000-0005-0000-0000-0000E0000000}"/>
    <cellStyle name="Currency 3" xfId="136" xr:uid="{00000000-0005-0000-0000-0000E1000000}"/>
    <cellStyle name="Currency 3 2" xfId="137" xr:uid="{00000000-0005-0000-0000-0000E2000000}"/>
    <cellStyle name="Currency_1995" xfId="1039" xr:uid="{00000000-0005-0000-0000-0000E3000000}"/>
    <cellStyle name="Currency0" xfId="138" xr:uid="{00000000-0005-0000-0000-0000E4000000}"/>
    <cellStyle name="Data" xfId="139" xr:uid="{00000000-0005-0000-0000-0000E5000000}"/>
    <cellStyle name="Data 2" xfId="1040" xr:uid="{00000000-0005-0000-0000-0000E6000000}"/>
    <cellStyle name="Date" xfId="140" xr:uid="{00000000-0005-0000-0000-0000E7000000}"/>
    <cellStyle name="Dia" xfId="1041" xr:uid="{00000000-0005-0000-0000-0000E8000000}"/>
    <cellStyle name="Encabez1" xfId="1042" xr:uid="{00000000-0005-0000-0000-0000E9000000}"/>
    <cellStyle name="Encabez2" xfId="1043" xr:uid="{00000000-0005-0000-0000-0000EA000000}"/>
    <cellStyle name="Ênfase1" xfId="22" builtinId="29" customBuiltin="1"/>
    <cellStyle name="Ênfase1 2" xfId="141" xr:uid="{00000000-0005-0000-0000-0000EC000000}"/>
    <cellStyle name="Ênfase1 3" xfId="1044" xr:uid="{00000000-0005-0000-0000-0000ED000000}"/>
    <cellStyle name="Ênfase1 4" xfId="1045" xr:uid="{00000000-0005-0000-0000-0000EE000000}"/>
    <cellStyle name="Ênfase2" xfId="25" builtinId="33" customBuiltin="1"/>
    <cellStyle name="Ênfase2 2" xfId="142" xr:uid="{00000000-0005-0000-0000-0000F0000000}"/>
    <cellStyle name="Ênfase2 3" xfId="1046" xr:uid="{00000000-0005-0000-0000-0000F1000000}"/>
    <cellStyle name="Ênfase2 4" xfId="1047" xr:uid="{00000000-0005-0000-0000-0000F2000000}"/>
    <cellStyle name="Ênfase3" xfId="28" builtinId="37" customBuiltin="1"/>
    <cellStyle name="Ênfase3 2" xfId="143" xr:uid="{00000000-0005-0000-0000-0000F4000000}"/>
    <cellStyle name="Ênfase3 3" xfId="1048" xr:uid="{00000000-0005-0000-0000-0000F5000000}"/>
    <cellStyle name="Ênfase3 4" xfId="1049" xr:uid="{00000000-0005-0000-0000-0000F6000000}"/>
    <cellStyle name="Ênfase4" xfId="31" builtinId="41" customBuiltin="1"/>
    <cellStyle name="Ênfase4 2" xfId="144" xr:uid="{00000000-0005-0000-0000-0000F8000000}"/>
    <cellStyle name="Ênfase4 3" xfId="1050" xr:uid="{00000000-0005-0000-0000-0000F9000000}"/>
    <cellStyle name="Ênfase4 4" xfId="1051" xr:uid="{00000000-0005-0000-0000-0000FA000000}"/>
    <cellStyle name="Ênfase5" xfId="34" builtinId="45" customBuiltin="1"/>
    <cellStyle name="Ênfase5 2" xfId="145" xr:uid="{00000000-0005-0000-0000-0000FC000000}"/>
    <cellStyle name="Ênfase5 3" xfId="1052" xr:uid="{00000000-0005-0000-0000-0000FD000000}"/>
    <cellStyle name="Ênfase5 4" xfId="1053" xr:uid="{00000000-0005-0000-0000-0000FE000000}"/>
    <cellStyle name="Ênfase6" xfId="37" builtinId="49" customBuiltin="1"/>
    <cellStyle name="Ênfase6 2" xfId="146" xr:uid="{00000000-0005-0000-0000-000000010000}"/>
    <cellStyle name="Ênfase6 3" xfId="1054" xr:uid="{00000000-0005-0000-0000-000001010000}"/>
    <cellStyle name="Ênfase6 4" xfId="1055" xr:uid="{00000000-0005-0000-0000-000002010000}"/>
    <cellStyle name="Entrada" xfId="13" builtinId="20" customBuiltin="1"/>
    <cellStyle name="Entrada 2" xfId="147" xr:uid="{00000000-0005-0000-0000-000004010000}"/>
    <cellStyle name="Entrada 2 2" xfId="648" xr:uid="{00000000-0005-0000-0000-000005010000}"/>
    <cellStyle name="Entrada 2 2 2" xfId="724" xr:uid="{00000000-0005-0000-0000-000006010000}"/>
    <cellStyle name="Entrada 2 2 2 2" xfId="931" xr:uid="{00000000-0005-0000-0000-000007010000}"/>
    <cellStyle name="Entrada 2 2 3" xfId="718" xr:uid="{00000000-0005-0000-0000-000008010000}"/>
    <cellStyle name="Entrada 2 2 3 2" xfId="927" xr:uid="{00000000-0005-0000-0000-000009010000}"/>
    <cellStyle name="Entrada 2 2 4" xfId="717" xr:uid="{00000000-0005-0000-0000-00000A010000}"/>
    <cellStyle name="Entrada 2 2 4 2" xfId="926" xr:uid="{00000000-0005-0000-0000-00000B010000}"/>
    <cellStyle name="Entrada 2 2 5" xfId="595" xr:uid="{00000000-0005-0000-0000-00000C010000}"/>
    <cellStyle name="Entrada 2 2 5 2" xfId="888" xr:uid="{00000000-0005-0000-0000-00000D010000}"/>
    <cellStyle name="Entrada 2 2 6" xfId="734" xr:uid="{00000000-0005-0000-0000-00000E010000}"/>
    <cellStyle name="Entrada 2 2 6 2" xfId="940" xr:uid="{00000000-0005-0000-0000-00000F010000}"/>
    <cellStyle name="Entrada 2 2 7" xfId="506" xr:uid="{00000000-0005-0000-0000-000010010000}"/>
    <cellStyle name="Entrada 2 2 7 2" xfId="838" xr:uid="{00000000-0005-0000-0000-000011010000}"/>
    <cellStyle name="Entrada 2 2 8" xfId="904" xr:uid="{00000000-0005-0000-0000-000012010000}"/>
    <cellStyle name="Entrada 2 3" xfId="520" xr:uid="{00000000-0005-0000-0000-000013010000}"/>
    <cellStyle name="Entrada 2 3 2" xfId="850" xr:uid="{00000000-0005-0000-0000-000014010000}"/>
    <cellStyle name="Entrada 2 4" xfId="598" xr:uid="{00000000-0005-0000-0000-000015010000}"/>
    <cellStyle name="Entrada 2 4 2" xfId="890" xr:uid="{00000000-0005-0000-0000-000016010000}"/>
    <cellStyle name="Entrada 2 5" xfId="627" xr:uid="{00000000-0005-0000-0000-000017010000}"/>
    <cellStyle name="Entrada 2 5 2" xfId="900" xr:uid="{00000000-0005-0000-0000-000018010000}"/>
    <cellStyle name="Entrada 2 6" xfId="515" xr:uid="{00000000-0005-0000-0000-000019010000}"/>
    <cellStyle name="Entrada 2 6 2" xfId="846" xr:uid="{00000000-0005-0000-0000-00001A010000}"/>
    <cellStyle name="Entrada 2 7" xfId="588" xr:uid="{00000000-0005-0000-0000-00001B010000}"/>
    <cellStyle name="Entrada 2 7 2" xfId="883" xr:uid="{00000000-0005-0000-0000-00001C010000}"/>
    <cellStyle name="Entrada 2 8" xfId="518" xr:uid="{00000000-0005-0000-0000-00001D010000}"/>
    <cellStyle name="Entrada 2 8 2" xfId="848" xr:uid="{00000000-0005-0000-0000-00001E010000}"/>
    <cellStyle name="Entrada 2 9" xfId="815" xr:uid="{00000000-0005-0000-0000-00001F010000}"/>
    <cellStyle name="Entrada 3" xfId="1056" xr:uid="{00000000-0005-0000-0000-000020010000}"/>
    <cellStyle name="Entrada 4" xfId="1057" xr:uid="{00000000-0005-0000-0000-000021010000}"/>
    <cellStyle name="Euro" xfId="148" xr:uid="{00000000-0005-0000-0000-000022010000}"/>
    <cellStyle name="Euro 2" xfId="1058" xr:uid="{00000000-0005-0000-0000-000023010000}"/>
    <cellStyle name="Excel Built-in Normal" xfId="56" xr:uid="{00000000-0005-0000-0000-000024010000}"/>
    <cellStyle name="Excel Built-in Normal 2" xfId="57" xr:uid="{00000000-0005-0000-0000-000025010000}"/>
    <cellStyle name="Excel Built-in Normal_6ª MP - PLUVIOMETRIA" xfId="58" xr:uid="{00000000-0005-0000-0000-000026010000}"/>
    <cellStyle name="Excel_BuiltIn_Comma" xfId="149" xr:uid="{00000000-0005-0000-0000-000027010000}"/>
    <cellStyle name="Explanatory Text" xfId="150" xr:uid="{00000000-0005-0000-0000-000028010000}"/>
    <cellStyle name="F2" xfId="1059" xr:uid="{00000000-0005-0000-0000-000029010000}"/>
    <cellStyle name="F3" xfId="1060" xr:uid="{00000000-0005-0000-0000-00002A010000}"/>
    <cellStyle name="F4" xfId="1061" xr:uid="{00000000-0005-0000-0000-00002B010000}"/>
    <cellStyle name="F5" xfId="1062" xr:uid="{00000000-0005-0000-0000-00002C010000}"/>
    <cellStyle name="F6" xfId="1063" xr:uid="{00000000-0005-0000-0000-00002D010000}"/>
    <cellStyle name="F7" xfId="1064" xr:uid="{00000000-0005-0000-0000-00002E010000}"/>
    <cellStyle name="F8" xfId="1065" xr:uid="{00000000-0005-0000-0000-00002F010000}"/>
    <cellStyle name="Fijo" xfId="1066" xr:uid="{00000000-0005-0000-0000-000030010000}"/>
    <cellStyle name="Financiero" xfId="1067" xr:uid="{00000000-0005-0000-0000-000031010000}"/>
    <cellStyle name="Fixed" xfId="151" xr:uid="{00000000-0005-0000-0000-000032010000}"/>
    <cellStyle name="Fixo" xfId="152" xr:uid="{00000000-0005-0000-0000-000033010000}"/>
    <cellStyle name="Fixo 2" xfId="1068" xr:uid="{00000000-0005-0000-0000-000034010000}"/>
    <cellStyle name="Good" xfId="153" xr:uid="{00000000-0005-0000-0000-000035010000}"/>
    <cellStyle name="HEADER" xfId="154" xr:uid="{00000000-0005-0000-0000-000036010000}"/>
    <cellStyle name="Heading 1" xfId="155" xr:uid="{00000000-0005-0000-0000-000037010000}"/>
    <cellStyle name="Heading 1 2" xfId="1069" xr:uid="{00000000-0005-0000-0000-000038010000}"/>
    <cellStyle name="Heading 2" xfId="156" xr:uid="{00000000-0005-0000-0000-000039010000}"/>
    <cellStyle name="Heading 2 2" xfId="1070" xr:uid="{00000000-0005-0000-0000-00003A010000}"/>
    <cellStyle name="Heading 3" xfId="157" xr:uid="{00000000-0005-0000-0000-00003B010000}"/>
    <cellStyle name="Heading 3 2" xfId="649" xr:uid="{00000000-0005-0000-0000-00003C010000}"/>
    <cellStyle name="Heading 3 2 2" xfId="725" xr:uid="{00000000-0005-0000-0000-00003D010000}"/>
    <cellStyle name="Heading 3 2 2 2" xfId="932" xr:uid="{00000000-0005-0000-0000-00003E010000}"/>
    <cellStyle name="Heading 3 2 3" xfId="586" xr:uid="{00000000-0005-0000-0000-00003F010000}"/>
    <cellStyle name="Heading 3 2 3 2" xfId="881" xr:uid="{00000000-0005-0000-0000-000040010000}"/>
    <cellStyle name="Heading 3 2 4" xfId="700" xr:uid="{00000000-0005-0000-0000-000041010000}"/>
    <cellStyle name="Heading 3 2 4 2" xfId="914" xr:uid="{00000000-0005-0000-0000-000042010000}"/>
    <cellStyle name="Heading 3 2 5" xfId="474" xr:uid="{00000000-0005-0000-0000-000043010000}"/>
    <cellStyle name="Heading 3 2 5 2" xfId="827" xr:uid="{00000000-0005-0000-0000-000044010000}"/>
    <cellStyle name="Heading 3 2 6" xfId="758" xr:uid="{00000000-0005-0000-0000-000045010000}"/>
    <cellStyle name="Heading 3 2 6 2" xfId="955" xr:uid="{00000000-0005-0000-0000-000046010000}"/>
    <cellStyle name="Heading 3 2 7" xfId="703" xr:uid="{00000000-0005-0000-0000-000047010000}"/>
    <cellStyle name="Heading 3 2 7 2" xfId="917" xr:uid="{00000000-0005-0000-0000-000048010000}"/>
    <cellStyle name="Heading 3 3" xfId="521" xr:uid="{00000000-0005-0000-0000-000049010000}"/>
    <cellStyle name="Heading 3 3 2" xfId="851" xr:uid="{00000000-0005-0000-0000-00004A010000}"/>
    <cellStyle name="Heading 3 4" xfId="553" xr:uid="{00000000-0005-0000-0000-00004B010000}"/>
    <cellStyle name="Heading 3 4 2" xfId="867" xr:uid="{00000000-0005-0000-0000-00004C010000}"/>
    <cellStyle name="Heading 3 5" xfId="533" xr:uid="{00000000-0005-0000-0000-00004D010000}"/>
    <cellStyle name="Heading 3 5 2" xfId="859" xr:uid="{00000000-0005-0000-0000-00004E010000}"/>
    <cellStyle name="Heading 3 6" xfId="600" xr:uid="{00000000-0005-0000-0000-00004F010000}"/>
    <cellStyle name="Heading 3 6 2" xfId="891" xr:uid="{00000000-0005-0000-0000-000050010000}"/>
    <cellStyle name="Heading 3 7" xfId="503" xr:uid="{00000000-0005-0000-0000-000051010000}"/>
    <cellStyle name="Heading 3 7 2" xfId="836" xr:uid="{00000000-0005-0000-0000-000052010000}"/>
    <cellStyle name="Heading 3 8" xfId="816" xr:uid="{00000000-0005-0000-0000-000053010000}"/>
    <cellStyle name="Heading 4" xfId="158" xr:uid="{00000000-0005-0000-0000-000054010000}"/>
    <cellStyle name="Heading1" xfId="1071" xr:uid="{00000000-0005-0000-0000-000055010000}"/>
    <cellStyle name="Hiperlink 2" xfId="1072" xr:uid="{00000000-0005-0000-0000-000056010000}"/>
    <cellStyle name="Incorreto 2" xfId="159" xr:uid="{00000000-0005-0000-0000-000058010000}"/>
    <cellStyle name="Incorreto 3" xfId="1073" xr:uid="{00000000-0005-0000-0000-000059010000}"/>
    <cellStyle name="Incorreto 4" xfId="1074" xr:uid="{00000000-0005-0000-0000-00005A010000}"/>
    <cellStyle name="Indefinido" xfId="160" xr:uid="{00000000-0005-0000-0000-00005B010000}"/>
    <cellStyle name="Input" xfId="161" xr:uid="{00000000-0005-0000-0000-00005C010000}"/>
    <cellStyle name="Input 2" xfId="650" xr:uid="{00000000-0005-0000-0000-00005D010000}"/>
    <cellStyle name="Input 2 2" xfId="726" xr:uid="{00000000-0005-0000-0000-00005E010000}"/>
    <cellStyle name="Input 2 2 2" xfId="933" xr:uid="{00000000-0005-0000-0000-00005F010000}"/>
    <cellStyle name="Input 2 3" xfId="603" xr:uid="{00000000-0005-0000-0000-000060010000}"/>
    <cellStyle name="Input 2 3 2" xfId="893" xr:uid="{00000000-0005-0000-0000-000061010000}"/>
    <cellStyle name="Input 2 4" xfId="711" xr:uid="{00000000-0005-0000-0000-000062010000}"/>
    <cellStyle name="Input 2 4 2" xfId="921" xr:uid="{00000000-0005-0000-0000-000063010000}"/>
    <cellStyle name="Input 2 5" xfId="475" xr:uid="{00000000-0005-0000-0000-000064010000}"/>
    <cellStyle name="Input 2 5 2" xfId="828" xr:uid="{00000000-0005-0000-0000-000065010000}"/>
    <cellStyle name="Input 2 6" xfId="597" xr:uid="{00000000-0005-0000-0000-000066010000}"/>
    <cellStyle name="Input 2 6 2" xfId="889" xr:uid="{00000000-0005-0000-0000-000067010000}"/>
    <cellStyle name="Input 2 7" xfId="698" xr:uid="{00000000-0005-0000-0000-000068010000}"/>
    <cellStyle name="Input 2 7 2" xfId="912" xr:uid="{00000000-0005-0000-0000-000069010000}"/>
    <cellStyle name="Input 2 8" xfId="905" xr:uid="{00000000-0005-0000-0000-00006A010000}"/>
    <cellStyle name="Input 3" xfId="522" xr:uid="{00000000-0005-0000-0000-00006B010000}"/>
    <cellStyle name="Input 3 2" xfId="852" xr:uid="{00000000-0005-0000-0000-00006C010000}"/>
    <cellStyle name="Input 4" xfId="512" xr:uid="{00000000-0005-0000-0000-00006D010000}"/>
    <cellStyle name="Input 4 2" xfId="843" xr:uid="{00000000-0005-0000-0000-00006E010000}"/>
    <cellStyle name="Input 5" xfId="532" xr:uid="{00000000-0005-0000-0000-00006F010000}"/>
    <cellStyle name="Input 5 2" xfId="858" xr:uid="{00000000-0005-0000-0000-000070010000}"/>
    <cellStyle name="Input 6" xfId="741" xr:uid="{00000000-0005-0000-0000-000071010000}"/>
    <cellStyle name="Input 6 2" xfId="947" xr:uid="{00000000-0005-0000-0000-000072010000}"/>
    <cellStyle name="Input 7" xfId="500" xr:uid="{00000000-0005-0000-0000-000073010000}"/>
    <cellStyle name="Input 7 2" xfId="833" xr:uid="{00000000-0005-0000-0000-000074010000}"/>
    <cellStyle name="Input 8" xfId="705" xr:uid="{00000000-0005-0000-0000-000075010000}"/>
    <cellStyle name="Input 8 2" xfId="919" xr:uid="{00000000-0005-0000-0000-000076010000}"/>
    <cellStyle name="Input 9" xfId="817" xr:uid="{00000000-0005-0000-0000-000077010000}"/>
    <cellStyle name="LINHA - NORM" xfId="162" xr:uid="{00000000-0005-0000-0000-000078010000}"/>
    <cellStyle name="LINHA - NORM 2" xfId="651" xr:uid="{00000000-0005-0000-0000-000079010000}"/>
    <cellStyle name="LINHA - NORM 2 2" xfId="727" xr:uid="{00000000-0005-0000-0000-00007A010000}"/>
    <cellStyle name="LINHA - NORM 2 3" xfId="742" xr:uid="{00000000-0005-0000-0000-00007B010000}"/>
    <cellStyle name="LINHA - NORM 2 4" xfId="594" xr:uid="{00000000-0005-0000-0000-00007C010000}"/>
    <cellStyle name="LINHA - NORM 3" xfId="523" xr:uid="{00000000-0005-0000-0000-00007D010000}"/>
    <cellStyle name="LINHA - NORM 4" xfId="551" xr:uid="{00000000-0005-0000-0000-00007E010000}"/>
    <cellStyle name="Linked Cell" xfId="163" xr:uid="{00000000-0005-0000-0000-00007F010000}"/>
    <cellStyle name="maria" xfId="1075" xr:uid="{00000000-0005-0000-0000-000080010000}"/>
    <cellStyle name="material" xfId="1076" xr:uid="{00000000-0005-0000-0000-000081010000}"/>
    <cellStyle name="Millares [0]_10 AVERIAS MASIVAS + ANT" xfId="1077" xr:uid="{00000000-0005-0000-0000-000082010000}"/>
    <cellStyle name="Millares_10 AVERIAS MASIVAS + ANT" xfId="1078" xr:uid="{00000000-0005-0000-0000-000083010000}"/>
    <cellStyle name="Milliers [0]_after_discount" xfId="164" xr:uid="{00000000-0005-0000-0000-000084010000}"/>
    <cellStyle name="Milliers_after_discount" xfId="165" xr:uid="{00000000-0005-0000-0000-000085010000}"/>
    <cellStyle name="Model" xfId="166" xr:uid="{00000000-0005-0000-0000-000086010000}"/>
    <cellStyle name="Model 2" xfId="652" xr:uid="{00000000-0005-0000-0000-000087010000}"/>
    <cellStyle name="Model 2 2" xfId="728" xr:uid="{00000000-0005-0000-0000-000088010000}"/>
    <cellStyle name="Model 2 2 2" xfId="934" xr:uid="{00000000-0005-0000-0000-000089010000}"/>
    <cellStyle name="Model 2 3" xfId="587" xr:uid="{00000000-0005-0000-0000-00008A010000}"/>
    <cellStyle name="Model 2 3 2" xfId="882" xr:uid="{00000000-0005-0000-0000-00008B010000}"/>
    <cellStyle name="Model 2 4" xfId="701" xr:uid="{00000000-0005-0000-0000-00008C010000}"/>
    <cellStyle name="Model 2 4 2" xfId="915" xr:uid="{00000000-0005-0000-0000-00008D010000}"/>
    <cellStyle name="Model 2 5" xfId="558" xr:uid="{00000000-0005-0000-0000-00008E010000}"/>
    <cellStyle name="Model 2 5 2" xfId="869" xr:uid="{00000000-0005-0000-0000-00008F010000}"/>
    <cellStyle name="Model 2 6" xfId="721" xr:uid="{00000000-0005-0000-0000-000090010000}"/>
    <cellStyle name="Model 2 6 2" xfId="928" xr:uid="{00000000-0005-0000-0000-000091010000}"/>
    <cellStyle name="Model 2 7" xfId="566" xr:uid="{00000000-0005-0000-0000-000092010000}"/>
    <cellStyle name="Model 2 7 2" xfId="875" xr:uid="{00000000-0005-0000-0000-000093010000}"/>
    <cellStyle name="Model 3" xfId="524" xr:uid="{00000000-0005-0000-0000-000094010000}"/>
    <cellStyle name="Model 3 2" xfId="853" xr:uid="{00000000-0005-0000-0000-000095010000}"/>
    <cellStyle name="Model 4" xfId="549" xr:uid="{00000000-0005-0000-0000-000096010000}"/>
    <cellStyle name="Model 4 2" xfId="865" xr:uid="{00000000-0005-0000-0000-000097010000}"/>
    <cellStyle name="Model 5" xfId="531" xr:uid="{00000000-0005-0000-0000-000098010000}"/>
    <cellStyle name="Model 5 2" xfId="857" xr:uid="{00000000-0005-0000-0000-000099010000}"/>
    <cellStyle name="Model 6" xfId="714" xr:uid="{00000000-0005-0000-0000-00009A010000}"/>
    <cellStyle name="Model 6 2" xfId="924" xr:uid="{00000000-0005-0000-0000-00009B010000}"/>
    <cellStyle name="Model 7" xfId="736" xr:uid="{00000000-0005-0000-0000-00009C010000}"/>
    <cellStyle name="Model 7 2" xfId="942" xr:uid="{00000000-0005-0000-0000-00009D010000}"/>
    <cellStyle name="Model 8" xfId="818" xr:uid="{00000000-0005-0000-0000-00009E010000}"/>
    <cellStyle name="Moeda" xfId="1" builtinId="4"/>
    <cellStyle name="Moeda 10" xfId="1079" xr:uid="{00000000-0005-0000-0000-0000A0010000}"/>
    <cellStyle name="Moeda 11" xfId="1080" xr:uid="{00000000-0005-0000-0000-0000A1010000}"/>
    <cellStyle name="Moeda 12" xfId="1081" xr:uid="{00000000-0005-0000-0000-0000A2010000}"/>
    <cellStyle name="Moeda 13" xfId="1082" xr:uid="{00000000-0005-0000-0000-0000A3010000}"/>
    <cellStyle name="Moeda 13 2" xfId="1083" xr:uid="{00000000-0005-0000-0000-0000A4010000}"/>
    <cellStyle name="Moeda 13 2 2" xfId="1084" xr:uid="{00000000-0005-0000-0000-0000A5010000}"/>
    <cellStyle name="Moeda 13 3" xfId="1085" xr:uid="{00000000-0005-0000-0000-0000A6010000}"/>
    <cellStyle name="Moeda 13 3 2" xfId="1086" xr:uid="{00000000-0005-0000-0000-0000A7010000}"/>
    <cellStyle name="Moeda 13 4" xfId="1087" xr:uid="{00000000-0005-0000-0000-0000A8010000}"/>
    <cellStyle name="Moeda 13 4 2" xfId="1088" xr:uid="{00000000-0005-0000-0000-0000A9010000}"/>
    <cellStyle name="Moeda 13 5" xfId="1089" xr:uid="{00000000-0005-0000-0000-0000AA010000}"/>
    <cellStyle name="Moeda 13 5 2" xfId="1090" xr:uid="{00000000-0005-0000-0000-0000AB010000}"/>
    <cellStyle name="Moeda 13 6" xfId="1091" xr:uid="{00000000-0005-0000-0000-0000AC010000}"/>
    <cellStyle name="Moeda 13 6 2" xfId="1092" xr:uid="{00000000-0005-0000-0000-0000AD010000}"/>
    <cellStyle name="Moeda 13 7" xfId="1093" xr:uid="{00000000-0005-0000-0000-0000AE010000}"/>
    <cellStyle name="Moeda 13 7 2" xfId="1094" xr:uid="{00000000-0005-0000-0000-0000AF010000}"/>
    <cellStyle name="Moeda 13 8" xfId="1095" xr:uid="{00000000-0005-0000-0000-0000B0010000}"/>
    <cellStyle name="Moeda 13 8 2" xfId="1096" xr:uid="{00000000-0005-0000-0000-0000B1010000}"/>
    <cellStyle name="Moeda 13 9" xfId="1097" xr:uid="{00000000-0005-0000-0000-0000B2010000}"/>
    <cellStyle name="Moeda 14" xfId="1098" xr:uid="{00000000-0005-0000-0000-0000B3010000}"/>
    <cellStyle name="Moeda 14 2" xfId="1099" xr:uid="{00000000-0005-0000-0000-0000B4010000}"/>
    <cellStyle name="Moeda 14 2 2" xfId="1100" xr:uid="{00000000-0005-0000-0000-0000B5010000}"/>
    <cellStyle name="Moeda 14 3" xfId="1101" xr:uid="{00000000-0005-0000-0000-0000B6010000}"/>
    <cellStyle name="Moeda 15" xfId="1102" xr:uid="{00000000-0005-0000-0000-0000B7010000}"/>
    <cellStyle name="Moeda 15 2" xfId="1103" xr:uid="{00000000-0005-0000-0000-0000B8010000}"/>
    <cellStyle name="Moeda 15 2 2" xfId="1104" xr:uid="{00000000-0005-0000-0000-0000B9010000}"/>
    <cellStyle name="Moeda 15 3" xfId="1105" xr:uid="{00000000-0005-0000-0000-0000BA010000}"/>
    <cellStyle name="Moeda 16" xfId="1106" xr:uid="{00000000-0005-0000-0000-0000BB010000}"/>
    <cellStyle name="Moeda 16 2" xfId="1107" xr:uid="{00000000-0005-0000-0000-0000BC010000}"/>
    <cellStyle name="Moeda 17" xfId="1108" xr:uid="{00000000-0005-0000-0000-0000BD010000}"/>
    <cellStyle name="Moeda 18" xfId="1518" xr:uid="{00000000-0005-0000-0000-0000BE010000}"/>
    <cellStyle name="Moeda 19" xfId="1532" xr:uid="{6E819B47-918F-4665-9867-621FD6D92376}"/>
    <cellStyle name="Moeda 2" xfId="167" xr:uid="{00000000-0005-0000-0000-0000BF010000}"/>
    <cellStyle name="Moeda 2 10" xfId="1109" xr:uid="{00000000-0005-0000-0000-0000C0010000}"/>
    <cellStyle name="Moeda 2 11" xfId="1521" xr:uid="{00000000-0005-0000-0000-0000C1010000}"/>
    <cellStyle name="Moeda 2 2" xfId="168" xr:uid="{00000000-0005-0000-0000-0000C2010000}"/>
    <cellStyle name="Moeda 2 3" xfId="169" xr:uid="{00000000-0005-0000-0000-0000C3010000}"/>
    <cellStyle name="Moeda 2 3 2" xfId="170" xr:uid="{00000000-0005-0000-0000-0000C4010000}"/>
    <cellStyle name="Moeda 2 3 2 2" xfId="654" xr:uid="{00000000-0005-0000-0000-0000C5010000}"/>
    <cellStyle name="Moeda 2 3 2 3" xfId="526" xr:uid="{00000000-0005-0000-0000-0000C6010000}"/>
    <cellStyle name="Moeda 2 3 3" xfId="653" xr:uid="{00000000-0005-0000-0000-0000C7010000}"/>
    <cellStyle name="Moeda 2 3 4" xfId="525" xr:uid="{00000000-0005-0000-0000-0000C8010000}"/>
    <cellStyle name="Moeda 2 3_lançamento CD" xfId="171" xr:uid="{00000000-0005-0000-0000-0000C9010000}"/>
    <cellStyle name="Moeda 2 4" xfId="1110" xr:uid="{00000000-0005-0000-0000-0000CA010000}"/>
    <cellStyle name="Moeda 2 4 2" xfId="1111" xr:uid="{00000000-0005-0000-0000-0000CB010000}"/>
    <cellStyle name="Moeda 2 4 3" xfId="1112" xr:uid="{00000000-0005-0000-0000-0000CC010000}"/>
    <cellStyle name="Moeda 2 5" xfId="1113" xr:uid="{00000000-0005-0000-0000-0000CD010000}"/>
    <cellStyle name="Moeda 2 6" xfId="1114" xr:uid="{00000000-0005-0000-0000-0000CE010000}"/>
    <cellStyle name="Moeda 2 7" xfId="1115" xr:uid="{00000000-0005-0000-0000-0000CF010000}"/>
    <cellStyle name="Moeda 2 8" xfId="1116" xr:uid="{00000000-0005-0000-0000-0000D0010000}"/>
    <cellStyle name="Moeda 2 9" xfId="1117" xr:uid="{00000000-0005-0000-0000-0000D1010000}"/>
    <cellStyle name="Moeda 3" xfId="172" xr:uid="{00000000-0005-0000-0000-0000D2010000}"/>
    <cellStyle name="Moeda 3 2" xfId="173" xr:uid="{00000000-0005-0000-0000-0000D3010000}"/>
    <cellStyle name="Moeda 4" xfId="174" xr:uid="{00000000-0005-0000-0000-0000D4010000}"/>
    <cellStyle name="Moeda 4 2" xfId="175" xr:uid="{00000000-0005-0000-0000-0000D5010000}"/>
    <cellStyle name="Moeda 5" xfId="176" xr:uid="{00000000-0005-0000-0000-0000D6010000}"/>
    <cellStyle name="Moeda 6" xfId="177" xr:uid="{00000000-0005-0000-0000-0000D7010000}"/>
    <cellStyle name="Moeda 7" xfId="59" xr:uid="{00000000-0005-0000-0000-0000D8010000}"/>
    <cellStyle name="Moeda 7 2" xfId="72" xr:uid="{00000000-0005-0000-0000-0000D9010000}"/>
    <cellStyle name="Moeda 8" xfId="1118" xr:uid="{00000000-0005-0000-0000-0000DA010000}"/>
    <cellStyle name="Moeda 9" xfId="1119" xr:uid="{00000000-0005-0000-0000-0000DB010000}"/>
    <cellStyle name="Moeda 9 2" xfId="1120" xr:uid="{00000000-0005-0000-0000-0000DC010000}"/>
    <cellStyle name="Moeda 9 2 2" xfId="1121" xr:uid="{00000000-0005-0000-0000-0000DD010000}"/>
    <cellStyle name="Moeda 9 3" xfId="1122" xr:uid="{00000000-0005-0000-0000-0000DE010000}"/>
    <cellStyle name="Moeda0" xfId="178" xr:uid="{00000000-0005-0000-0000-0000DF010000}"/>
    <cellStyle name="Moeda0 2" xfId="1123" xr:uid="{00000000-0005-0000-0000-0000E0010000}"/>
    <cellStyle name="Moneda [0]_10 AVERIAS MASIVAS + ANT" xfId="1124" xr:uid="{00000000-0005-0000-0000-0000E1010000}"/>
    <cellStyle name="Moneda_10 AVERIAS MASIVAS + ANT" xfId="1125" xr:uid="{00000000-0005-0000-0000-0000E2010000}"/>
    <cellStyle name="Monétaire [0]_after_discount" xfId="179" xr:uid="{00000000-0005-0000-0000-0000E3010000}"/>
    <cellStyle name="Monétaire_after_discount" xfId="180" xr:uid="{00000000-0005-0000-0000-0000E4010000}"/>
    <cellStyle name="Monetario" xfId="1126" xr:uid="{00000000-0005-0000-0000-0000E5010000}"/>
    <cellStyle name="mpenho" xfId="181" xr:uid="{00000000-0005-0000-0000-0000E6010000}"/>
    <cellStyle name="mpenho 2" xfId="1127" xr:uid="{00000000-0005-0000-0000-0000E7010000}"/>
    <cellStyle name="Neutra 2" xfId="182" xr:uid="{00000000-0005-0000-0000-0000E8010000}"/>
    <cellStyle name="Neutra 3" xfId="1128" xr:uid="{00000000-0005-0000-0000-0000E9010000}"/>
    <cellStyle name="Neutra 4" xfId="1129" xr:uid="{00000000-0005-0000-0000-0000EA010000}"/>
    <cellStyle name="Neutral" xfId="183" xr:uid="{00000000-0005-0000-0000-0000EB010000}"/>
    <cellStyle name="Neutral 2" xfId="1130" xr:uid="{00000000-0005-0000-0000-0000EC010000}"/>
    <cellStyle name="Neutro 2" xfId="48" xr:uid="{00000000-0005-0000-0000-0000ED010000}"/>
    <cellStyle name="no dec" xfId="1131" xr:uid="{00000000-0005-0000-0000-0000EE010000}"/>
    <cellStyle name="Normal" xfId="0" builtinId="0"/>
    <cellStyle name="Normal 10" xfId="184" xr:uid="{00000000-0005-0000-0000-0000F0010000}"/>
    <cellStyle name="Normal 10 10" xfId="1132" xr:uid="{00000000-0005-0000-0000-0000F1010000}"/>
    <cellStyle name="Normal 10 10 2" xfId="1133" xr:uid="{00000000-0005-0000-0000-0000F2010000}"/>
    <cellStyle name="Normal 10 11" xfId="1134" xr:uid="{00000000-0005-0000-0000-0000F3010000}"/>
    <cellStyle name="Normal 10 2" xfId="1135" xr:uid="{00000000-0005-0000-0000-0000F4010000}"/>
    <cellStyle name="Normal 10 2 2" xfId="1136" xr:uid="{00000000-0005-0000-0000-0000F5010000}"/>
    <cellStyle name="Normal 10 3" xfId="1137" xr:uid="{00000000-0005-0000-0000-0000F6010000}"/>
    <cellStyle name="Normal 10 3 2" xfId="1138" xr:uid="{00000000-0005-0000-0000-0000F7010000}"/>
    <cellStyle name="Normal 10 4" xfId="1139" xr:uid="{00000000-0005-0000-0000-0000F8010000}"/>
    <cellStyle name="Normal 10 4 2" xfId="1140" xr:uid="{00000000-0005-0000-0000-0000F9010000}"/>
    <cellStyle name="Normal 10 5" xfId="1141" xr:uid="{00000000-0005-0000-0000-0000FA010000}"/>
    <cellStyle name="Normal 10 5 2" xfId="1142" xr:uid="{00000000-0005-0000-0000-0000FB010000}"/>
    <cellStyle name="Normal 10 6" xfId="1143" xr:uid="{00000000-0005-0000-0000-0000FC010000}"/>
    <cellStyle name="Normal 10 6 2" xfId="1144" xr:uid="{00000000-0005-0000-0000-0000FD010000}"/>
    <cellStyle name="Normal 10 7" xfId="1145" xr:uid="{00000000-0005-0000-0000-0000FE010000}"/>
    <cellStyle name="Normal 10 7 2" xfId="1146" xr:uid="{00000000-0005-0000-0000-0000FF010000}"/>
    <cellStyle name="Normal 10 8" xfId="1147" xr:uid="{00000000-0005-0000-0000-000000020000}"/>
    <cellStyle name="Normal 10 8 2" xfId="1148" xr:uid="{00000000-0005-0000-0000-000001020000}"/>
    <cellStyle name="Normal 10 9" xfId="1149" xr:uid="{00000000-0005-0000-0000-000002020000}"/>
    <cellStyle name="Normal 10 9 2" xfId="1150" xr:uid="{00000000-0005-0000-0000-000003020000}"/>
    <cellStyle name="Normal 10 9 2 2" xfId="1151" xr:uid="{00000000-0005-0000-0000-000004020000}"/>
    <cellStyle name="Normal 10 9 3" xfId="1152" xr:uid="{00000000-0005-0000-0000-000005020000}"/>
    <cellStyle name="Normal 11" xfId="8" xr:uid="{00000000-0005-0000-0000-000006020000}"/>
    <cellStyle name="Normal 11 2" xfId="1153" xr:uid="{00000000-0005-0000-0000-000007020000}"/>
    <cellStyle name="Normal 11 2 2" xfId="1154" xr:uid="{00000000-0005-0000-0000-000008020000}"/>
    <cellStyle name="Normal 11 2 3" xfId="1155" xr:uid="{00000000-0005-0000-0000-000009020000}"/>
    <cellStyle name="Normal 11 3" xfId="1156" xr:uid="{00000000-0005-0000-0000-00000A020000}"/>
    <cellStyle name="Normal 11 3 2" xfId="1157" xr:uid="{00000000-0005-0000-0000-00000B020000}"/>
    <cellStyle name="Normal 11 4" xfId="1158" xr:uid="{00000000-0005-0000-0000-00000C020000}"/>
    <cellStyle name="Normal 11 4 2" xfId="1159" xr:uid="{00000000-0005-0000-0000-00000D020000}"/>
    <cellStyle name="Normal 11 5" xfId="1160" xr:uid="{00000000-0005-0000-0000-00000E020000}"/>
    <cellStyle name="Normal 11 5 2" xfId="1161" xr:uid="{00000000-0005-0000-0000-00000F020000}"/>
    <cellStyle name="Normal 11 6" xfId="1162" xr:uid="{00000000-0005-0000-0000-000010020000}"/>
    <cellStyle name="Normal 11 6 2" xfId="1163" xr:uid="{00000000-0005-0000-0000-000011020000}"/>
    <cellStyle name="Normal 11 7" xfId="1164" xr:uid="{00000000-0005-0000-0000-000012020000}"/>
    <cellStyle name="Normal 11 7 2" xfId="1165" xr:uid="{00000000-0005-0000-0000-000013020000}"/>
    <cellStyle name="Normal 11 8" xfId="1166" xr:uid="{00000000-0005-0000-0000-000014020000}"/>
    <cellStyle name="Normal 11 8 2" xfId="1167" xr:uid="{00000000-0005-0000-0000-000015020000}"/>
    <cellStyle name="Normal 11 9" xfId="1168" xr:uid="{00000000-0005-0000-0000-000016020000}"/>
    <cellStyle name="Normal 12" xfId="185" xr:uid="{00000000-0005-0000-0000-000017020000}"/>
    <cellStyle name="Normal 12 2" xfId="1169" xr:uid="{00000000-0005-0000-0000-000018020000}"/>
    <cellStyle name="Normal 12 2 2" xfId="1170" xr:uid="{00000000-0005-0000-0000-000019020000}"/>
    <cellStyle name="Normal 12 2 3" xfId="1171" xr:uid="{00000000-0005-0000-0000-00001A020000}"/>
    <cellStyle name="Normal 12 3" xfId="1172" xr:uid="{00000000-0005-0000-0000-00001B020000}"/>
    <cellStyle name="Normal 12 3 2" xfId="1173" xr:uid="{00000000-0005-0000-0000-00001C020000}"/>
    <cellStyle name="Normal 12 4" xfId="1174" xr:uid="{00000000-0005-0000-0000-00001D020000}"/>
    <cellStyle name="Normal 12 4 2" xfId="1175" xr:uid="{00000000-0005-0000-0000-00001E020000}"/>
    <cellStyle name="Normal 12 5" xfId="1176" xr:uid="{00000000-0005-0000-0000-00001F020000}"/>
    <cellStyle name="Normal 12 5 2" xfId="1177" xr:uid="{00000000-0005-0000-0000-000020020000}"/>
    <cellStyle name="Normal 12 6" xfId="1178" xr:uid="{00000000-0005-0000-0000-000021020000}"/>
    <cellStyle name="Normal 12 6 2" xfId="1179" xr:uid="{00000000-0005-0000-0000-000022020000}"/>
    <cellStyle name="Normal 12 7" xfId="1180" xr:uid="{00000000-0005-0000-0000-000023020000}"/>
    <cellStyle name="Normal 12 7 2" xfId="1181" xr:uid="{00000000-0005-0000-0000-000024020000}"/>
    <cellStyle name="Normal 12 8" xfId="1182" xr:uid="{00000000-0005-0000-0000-000025020000}"/>
    <cellStyle name="Normal 12 8 2" xfId="1183" xr:uid="{00000000-0005-0000-0000-000026020000}"/>
    <cellStyle name="Normal 13" xfId="186" xr:uid="{00000000-0005-0000-0000-000027020000}"/>
    <cellStyle name="Normal 14" xfId="187" xr:uid="{00000000-0005-0000-0000-000028020000}"/>
    <cellStyle name="Normal 14 2" xfId="1184" xr:uid="{00000000-0005-0000-0000-000029020000}"/>
    <cellStyle name="Normal 14 2 2" xfId="1185" xr:uid="{00000000-0005-0000-0000-00002A020000}"/>
    <cellStyle name="Normal 14 3" xfId="1186" xr:uid="{00000000-0005-0000-0000-00002B020000}"/>
    <cellStyle name="Normal 14 3 2" xfId="1187" xr:uid="{00000000-0005-0000-0000-00002C020000}"/>
    <cellStyle name="Normal 14 4" xfId="1188" xr:uid="{00000000-0005-0000-0000-00002D020000}"/>
    <cellStyle name="Normal 14 4 2" xfId="1189" xr:uid="{00000000-0005-0000-0000-00002E020000}"/>
    <cellStyle name="Normal 14 5" xfId="1190" xr:uid="{00000000-0005-0000-0000-00002F020000}"/>
    <cellStyle name="Normal 14 5 2" xfId="1191" xr:uid="{00000000-0005-0000-0000-000030020000}"/>
    <cellStyle name="Normal 14 6" xfId="1192" xr:uid="{00000000-0005-0000-0000-000031020000}"/>
    <cellStyle name="Normal 14 6 2" xfId="1193" xr:uid="{00000000-0005-0000-0000-000032020000}"/>
    <cellStyle name="Normal 14 7" xfId="1194" xr:uid="{00000000-0005-0000-0000-000033020000}"/>
    <cellStyle name="Normal 14 7 2" xfId="1195" xr:uid="{00000000-0005-0000-0000-000034020000}"/>
    <cellStyle name="Normal 14 8" xfId="1196" xr:uid="{00000000-0005-0000-0000-000035020000}"/>
    <cellStyle name="Normal 14 8 2" xfId="1197" xr:uid="{00000000-0005-0000-0000-000036020000}"/>
    <cellStyle name="Normal 15" xfId="188" xr:uid="{00000000-0005-0000-0000-000037020000}"/>
    <cellStyle name="Normal 15 2" xfId="1198" xr:uid="{00000000-0005-0000-0000-000038020000}"/>
    <cellStyle name="Normal 15 3" xfId="1199" xr:uid="{00000000-0005-0000-0000-000039020000}"/>
    <cellStyle name="Normal 15 4" xfId="1200" xr:uid="{00000000-0005-0000-0000-00003A020000}"/>
    <cellStyle name="Normal 15 5" xfId="1201" xr:uid="{00000000-0005-0000-0000-00003B020000}"/>
    <cellStyle name="Normal 15 6" xfId="1202" xr:uid="{00000000-0005-0000-0000-00003C020000}"/>
    <cellStyle name="Normal 15 7" xfId="1203" xr:uid="{00000000-0005-0000-0000-00003D020000}"/>
    <cellStyle name="Normal 15 8" xfId="1204" xr:uid="{00000000-0005-0000-0000-00003E020000}"/>
    <cellStyle name="Normal 16" xfId="189" xr:uid="{00000000-0005-0000-0000-00003F020000}"/>
    <cellStyle name="Normal 16 2" xfId="1205" xr:uid="{00000000-0005-0000-0000-000040020000}"/>
    <cellStyle name="Normal 16 3" xfId="1206" xr:uid="{00000000-0005-0000-0000-000041020000}"/>
    <cellStyle name="Normal 16 4" xfId="1207" xr:uid="{00000000-0005-0000-0000-000042020000}"/>
    <cellStyle name="Normal 16 5" xfId="1208" xr:uid="{00000000-0005-0000-0000-000043020000}"/>
    <cellStyle name="Normal 16 6" xfId="1209" xr:uid="{00000000-0005-0000-0000-000044020000}"/>
    <cellStyle name="Normal 16 7" xfId="1210" xr:uid="{00000000-0005-0000-0000-000045020000}"/>
    <cellStyle name="Normal 16 8" xfId="1211" xr:uid="{00000000-0005-0000-0000-000046020000}"/>
    <cellStyle name="Normal 17" xfId="190" xr:uid="{00000000-0005-0000-0000-000047020000}"/>
    <cellStyle name="Normal 17 10" xfId="1212" xr:uid="{00000000-0005-0000-0000-000048020000}"/>
    <cellStyle name="Normal 17 2" xfId="1213" xr:uid="{00000000-0005-0000-0000-000049020000}"/>
    <cellStyle name="Normal 17 2 2" xfId="1214" xr:uid="{00000000-0005-0000-0000-00004A020000}"/>
    <cellStyle name="Normal 17 3" xfId="1215" xr:uid="{00000000-0005-0000-0000-00004B020000}"/>
    <cellStyle name="Normal 17 4" xfId="1216" xr:uid="{00000000-0005-0000-0000-00004C020000}"/>
    <cellStyle name="Normal 17 5" xfId="1217" xr:uid="{00000000-0005-0000-0000-00004D020000}"/>
    <cellStyle name="Normal 17 6" xfId="1218" xr:uid="{00000000-0005-0000-0000-00004E020000}"/>
    <cellStyle name="Normal 17 7" xfId="1219" xr:uid="{00000000-0005-0000-0000-00004F020000}"/>
    <cellStyle name="Normal 17 8" xfId="1220" xr:uid="{00000000-0005-0000-0000-000050020000}"/>
    <cellStyle name="Normal 17 9" xfId="1221" xr:uid="{00000000-0005-0000-0000-000051020000}"/>
    <cellStyle name="Normal 18" xfId="191" xr:uid="{00000000-0005-0000-0000-000052020000}"/>
    <cellStyle name="Normal 18 2" xfId="1222" xr:uid="{00000000-0005-0000-0000-000053020000}"/>
    <cellStyle name="Normal 19" xfId="192" xr:uid="{00000000-0005-0000-0000-000054020000}"/>
    <cellStyle name="Normal 19 2" xfId="1223" xr:uid="{00000000-0005-0000-0000-000055020000}"/>
    <cellStyle name="Normal 19 3" xfId="1224" xr:uid="{00000000-0005-0000-0000-000056020000}"/>
    <cellStyle name="Normal 19 4" xfId="1225" xr:uid="{00000000-0005-0000-0000-000057020000}"/>
    <cellStyle name="Normal 19 5" xfId="1226" xr:uid="{00000000-0005-0000-0000-000058020000}"/>
    <cellStyle name="Normal 19 6" xfId="1227" xr:uid="{00000000-0005-0000-0000-000059020000}"/>
    <cellStyle name="Normal 19 7" xfId="1228" xr:uid="{00000000-0005-0000-0000-00005A020000}"/>
    <cellStyle name="Normal 19 8" xfId="1229" xr:uid="{00000000-0005-0000-0000-00005B020000}"/>
    <cellStyle name="Normal 2" xfId="60" xr:uid="{00000000-0005-0000-0000-00005C020000}"/>
    <cellStyle name="Normal 2 10" xfId="193" xr:uid="{00000000-0005-0000-0000-00005D020000}"/>
    <cellStyle name="Normal 2 10 2" xfId="1230" xr:uid="{00000000-0005-0000-0000-00005E020000}"/>
    <cellStyle name="Normal 2 11" xfId="61" xr:uid="{00000000-0005-0000-0000-00005F020000}"/>
    <cellStyle name="Normal 2 11 2" xfId="1231" xr:uid="{00000000-0005-0000-0000-000060020000}"/>
    <cellStyle name="Normal 2 12" xfId="1232" xr:uid="{00000000-0005-0000-0000-000061020000}"/>
    <cellStyle name="Normal 2 12 2" xfId="1233" xr:uid="{00000000-0005-0000-0000-000062020000}"/>
    <cellStyle name="Normal 2 13" xfId="1234" xr:uid="{00000000-0005-0000-0000-000063020000}"/>
    <cellStyle name="Normal 2 13 2" xfId="1235" xr:uid="{00000000-0005-0000-0000-000064020000}"/>
    <cellStyle name="Normal 2 14" xfId="1236" xr:uid="{00000000-0005-0000-0000-000065020000}"/>
    <cellStyle name="Normal 2 14 2" xfId="1237" xr:uid="{00000000-0005-0000-0000-000066020000}"/>
    <cellStyle name="Normal 2 15" xfId="1238" xr:uid="{00000000-0005-0000-0000-000067020000}"/>
    <cellStyle name="Normal 2 16" xfId="5" xr:uid="{00000000-0005-0000-0000-000068020000}"/>
    <cellStyle name="Normal 2 17" xfId="6" xr:uid="{00000000-0005-0000-0000-000069020000}"/>
    <cellStyle name="Normal 2 18" xfId="1522" xr:uid="{00000000-0005-0000-0000-00006A020000}"/>
    <cellStyle name="Normal 2 2" xfId="3" xr:uid="{00000000-0005-0000-0000-00006B020000}"/>
    <cellStyle name="Normal 2 2 10" xfId="195" xr:uid="{00000000-0005-0000-0000-00006C020000}"/>
    <cellStyle name="Normal 2 2 11" xfId="196" xr:uid="{00000000-0005-0000-0000-00006D020000}"/>
    <cellStyle name="Normal 2 2 12" xfId="197" xr:uid="{00000000-0005-0000-0000-00006E020000}"/>
    <cellStyle name="Normal 2 2 13" xfId="198" xr:uid="{00000000-0005-0000-0000-00006F020000}"/>
    <cellStyle name="Normal 2 2 14" xfId="199" xr:uid="{00000000-0005-0000-0000-000070020000}"/>
    <cellStyle name="Normal 2 2 15" xfId="200" xr:uid="{00000000-0005-0000-0000-000071020000}"/>
    <cellStyle name="Normal 2 2 16" xfId="201" xr:uid="{00000000-0005-0000-0000-000072020000}"/>
    <cellStyle name="Normal 2 2 17" xfId="202" xr:uid="{00000000-0005-0000-0000-000073020000}"/>
    <cellStyle name="Normal 2 2 18" xfId="203" xr:uid="{00000000-0005-0000-0000-000074020000}"/>
    <cellStyle name="Normal 2 2 19" xfId="204" xr:uid="{00000000-0005-0000-0000-000075020000}"/>
    <cellStyle name="Normal 2 2 2" xfId="7" xr:uid="{00000000-0005-0000-0000-000076020000}"/>
    <cellStyle name="Normal 2 2 2 2" xfId="43" xr:uid="{00000000-0005-0000-0000-000077020000}"/>
    <cellStyle name="Normal 2 2 20" xfId="205" xr:uid="{00000000-0005-0000-0000-000078020000}"/>
    <cellStyle name="Normal 2 2 21" xfId="206" xr:uid="{00000000-0005-0000-0000-000079020000}"/>
    <cellStyle name="Normal 2 2 22" xfId="207" xr:uid="{00000000-0005-0000-0000-00007A020000}"/>
    <cellStyle name="Normal 2 2 23" xfId="208" xr:uid="{00000000-0005-0000-0000-00007B020000}"/>
    <cellStyle name="Normal 2 2 24" xfId="209" xr:uid="{00000000-0005-0000-0000-00007C020000}"/>
    <cellStyle name="Normal 2 2 25" xfId="655" xr:uid="{00000000-0005-0000-0000-00007D020000}"/>
    <cellStyle name="Normal 2 2 25 2" xfId="1239" xr:uid="{00000000-0005-0000-0000-00007E020000}"/>
    <cellStyle name="Normal 2 2 26" xfId="527" xr:uid="{00000000-0005-0000-0000-00007F020000}"/>
    <cellStyle name="Normal 2 2 27" xfId="194" xr:uid="{00000000-0005-0000-0000-000080020000}"/>
    <cellStyle name="Normal 2 2 3" xfId="41" xr:uid="{00000000-0005-0000-0000-000081020000}"/>
    <cellStyle name="Normal 2 2 4" xfId="210" xr:uid="{00000000-0005-0000-0000-000082020000}"/>
    <cellStyle name="Normal 2 2 5" xfId="211" xr:uid="{00000000-0005-0000-0000-000083020000}"/>
    <cellStyle name="Normal 2 2 6" xfId="212" xr:uid="{00000000-0005-0000-0000-000084020000}"/>
    <cellStyle name="Normal 2 2 7" xfId="213" xr:uid="{00000000-0005-0000-0000-000085020000}"/>
    <cellStyle name="Normal 2 2 8" xfId="214" xr:uid="{00000000-0005-0000-0000-000086020000}"/>
    <cellStyle name="Normal 2 2 9" xfId="215" xr:uid="{00000000-0005-0000-0000-000087020000}"/>
    <cellStyle name="Normal 2 2_1ª MP - DOCUMENTOS E FICHAS DE MEDIÇAO_CT 028_2012 DNIT ok" xfId="216" xr:uid="{00000000-0005-0000-0000-000088020000}"/>
    <cellStyle name="Normal 2 3" xfId="217" xr:uid="{00000000-0005-0000-0000-000089020000}"/>
    <cellStyle name="Normal 2 3 2" xfId="1240" xr:uid="{00000000-0005-0000-0000-00008A020000}"/>
    <cellStyle name="Normal 2 3 3" xfId="1241" xr:uid="{00000000-0005-0000-0000-00008B020000}"/>
    <cellStyle name="Normal 2 3 4" xfId="1242" xr:uid="{00000000-0005-0000-0000-00008C020000}"/>
    <cellStyle name="Normal 2 3 5" xfId="1243" xr:uid="{00000000-0005-0000-0000-00008D020000}"/>
    <cellStyle name="Normal 2 3 6" xfId="1244" xr:uid="{00000000-0005-0000-0000-00008E020000}"/>
    <cellStyle name="Normal 2 3 7" xfId="1245" xr:uid="{00000000-0005-0000-0000-00008F020000}"/>
    <cellStyle name="Normal 2 3 8" xfId="1246" xr:uid="{00000000-0005-0000-0000-000090020000}"/>
    <cellStyle name="Normal 2 3 9" xfId="1247" xr:uid="{00000000-0005-0000-0000-000091020000}"/>
    <cellStyle name="Normal 2 4" xfId="218" xr:uid="{00000000-0005-0000-0000-000092020000}"/>
    <cellStyle name="Normal 2 4 10" xfId="219" xr:uid="{00000000-0005-0000-0000-000093020000}"/>
    <cellStyle name="Normal 2 4 11" xfId="220" xr:uid="{00000000-0005-0000-0000-000094020000}"/>
    <cellStyle name="Normal 2 4 12" xfId="221" xr:uid="{00000000-0005-0000-0000-000095020000}"/>
    <cellStyle name="Normal 2 4 13" xfId="222" xr:uid="{00000000-0005-0000-0000-000096020000}"/>
    <cellStyle name="Normal 2 4 2" xfId="223" xr:uid="{00000000-0005-0000-0000-000097020000}"/>
    <cellStyle name="Normal 2 4 3" xfId="224" xr:uid="{00000000-0005-0000-0000-000098020000}"/>
    <cellStyle name="Normal 2 4 4" xfId="225" xr:uid="{00000000-0005-0000-0000-000099020000}"/>
    <cellStyle name="Normal 2 4 5" xfId="226" xr:uid="{00000000-0005-0000-0000-00009A020000}"/>
    <cellStyle name="Normal 2 4 6" xfId="227" xr:uid="{00000000-0005-0000-0000-00009B020000}"/>
    <cellStyle name="Normal 2 4 7" xfId="228" xr:uid="{00000000-0005-0000-0000-00009C020000}"/>
    <cellStyle name="Normal 2 4 8" xfId="229" xr:uid="{00000000-0005-0000-0000-00009D020000}"/>
    <cellStyle name="Normal 2 4 9" xfId="230" xr:uid="{00000000-0005-0000-0000-00009E020000}"/>
    <cellStyle name="Normal 2 4_lançamento CD" xfId="231" xr:uid="{00000000-0005-0000-0000-00009F020000}"/>
    <cellStyle name="Normal 2 5" xfId="232" xr:uid="{00000000-0005-0000-0000-0000A0020000}"/>
    <cellStyle name="Normal 2 5 10" xfId="233" xr:uid="{00000000-0005-0000-0000-0000A1020000}"/>
    <cellStyle name="Normal 2 5 11" xfId="234" xr:uid="{00000000-0005-0000-0000-0000A2020000}"/>
    <cellStyle name="Normal 2 5 12" xfId="235" xr:uid="{00000000-0005-0000-0000-0000A3020000}"/>
    <cellStyle name="Normal 2 5 13" xfId="236" xr:uid="{00000000-0005-0000-0000-0000A4020000}"/>
    <cellStyle name="Normal 2 5 2" xfId="237" xr:uid="{00000000-0005-0000-0000-0000A5020000}"/>
    <cellStyle name="Normal 2 5 3" xfId="238" xr:uid="{00000000-0005-0000-0000-0000A6020000}"/>
    <cellStyle name="Normal 2 5 4" xfId="239" xr:uid="{00000000-0005-0000-0000-0000A7020000}"/>
    <cellStyle name="Normal 2 5 5" xfId="240" xr:uid="{00000000-0005-0000-0000-0000A8020000}"/>
    <cellStyle name="Normal 2 5 6" xfId="241" xr:uid="{00000000-0005-0000-0000-0000A9020000}"/>
    <cellStyle name="Normal 2 5 7" xfId="242" xr:uid="{00000000-0005-0000-0000-0000AA020000}"/>
    <cellStyle name="Normal 2 5 8" xfId="243" xr:uid="{00000000-0005-0000-0000-0000AB020000}"/>
    <cellStyle name="Normal 2 5 9" xfId="244" xr:uid="{00000000-0005-0000-0000-0000AC020000}"/>
    <cellStyle name="Normal 2 5_lançamento CD" xfId="245" xr:uid="{00000000-0005-0000-0000-0000AD020000}"/>
    <cellStyle name="Normal 2 6" xfId="246" xr:uid="{00000000-0005-0000-0000-0000AE020000}"/>
    <cellStyle name="Normal 2 6 10" xfId="247" xr:uid="{00000000-0005-0000-0000-0000AF020000}"/>
    <cellStyle name="Normal 2 6 11" xfId="248" xr:uid="{00000000-0005-0000-0000-0000B0020000}"/>
    <cellStyle name="Normal 2 6 12" xfId="249" xr:uid="{00000000-0005-0000-0000-0000B1020000}"/>
    <cellStyle name="Normal 2 6 13" xfId="250" xr:uid="{00000000-0005-0000-0000-0000B2020000}"/>
    <cellStyle name="Normal 2 6 2" xfId="251" xr:uid="{00000000-0005-0000-0000-0000B3020000}"/>
    <cellStyle name="Normal 2 6 3" xfId="252" xr:uid="{00000000-0005-0000-0000-0000B4020000}"/>
    <cellStyle name="Normal 2 6 4" xfId="253" xr:uid="{00000000-0005-0000-0000-0000B5020000}"/>
    <cellStyle name="Normal 2 6 5" xfId="254" xr:uid="{00000000-0005-0000-0000-0000B6020000}"/>
    <cellStyle name="Normal 2 6 6" xfId="255" xr:uid="{00000000-0005-0000-0000-0000B7020000}"/>
    <cellStyle name="Normal 2 6 7" xfId="256" xr:uid="{00000000-0005-0000-0000-0000B8020000}"/>
    <cellStyle name="Normal 2 6 8" xfId="257" xr:uid="{00000000-0005-0000-0000-0000B9020000}"/>
    <cellStyle name="Normal 2 6 9" xfId="258" xr:uid="{00000000-0005-0000-0000-0000BA020000}"/>
    <cellStyle name="Normal 2 6_lançamento CD" xfId="259" xr:uid="{00000000-0005-0000-0000-0000BB020000}"/>
    <cellStyle name="Normal 2 7" xfId="260" xr:uid="{00000000-0005-0000-0000-0000BC020000}"/>
    <cellStyle name="Normal 2 7 10" xfId="261" xr:uid="{00000000-0005-0000-0000-0000BD020000}"/>
    <cellStyle name="Normal 2 7 11" xfId="262" xr:uid="{00000000-0005-0000-0000-0000BE020000}"/>
    <cellStyle name="Normal 2 7 12" xfId="263" xr:uid="{00000000-0005-0000-0000-0000BF020000}"/>
    <cellStyle name="Normal 2 7 13" xfId="264" xr:uid="{00000000-0005-0000-0000-0000C0020000}"/>
    <cellStyle name="Normal 2 7 2" xfId="265" xr:uid="{00000000-0005-0000-0000-0000C1020000}"/>
    <cellStyle name="Normal 2 7 3" xfId="266" xr:uid="{00000000-0005-0000-0000-0000C2020000}"/>
    <cellStyle name="Normal 2 7 4" xfId="267" xr:uid="{00000000-0005-0000-0000-0000C3020000}"/>
    <cellStyle name="Normal 2 7 5" xfId="268" xr:uid="{00000000-0005-0000-0000-0000C4020000}"/>
    <cellStyle name="Normal 2 7 6" xfId="269" xr:uid="{00000000-0005-0000-0000-0000C5020000}"/>
    <cellStyle name="Normal 2 7 7" xfId="270" xr:uid="{00000000-0005-0000-0000-0000C6020000}"/>
    <cellStyle name="Normal 2 7 8" xfId="271" xr:uid="{00000000-0005-0000-0000-0000C7020000}"/>
    <cellStyle name="Normal 2 7 9" xfId="272" xr:uid="{00000000-0005-0000-0000-0000C8020000}"/>
    <cellStyle name="Normal 2 7_lançamento CD" xfId="273" xr:uid="{00000000-0005-0000-0000-0000C9020000}"/>
    <cellStyle name="Normal 2 8" xfId="274" xr:uid="{00000000-0005-0000-0000-0000CA020000}"/>
    <cellStyle name="Normal 2 8 10" xfId="275" xr:uid="{00000000-0005-0000-0000-0000CB020000}"/>
    <cellStyle name="Normal 2 8 11" xfId="276" xr:uid="{00000000-0005-0000-0000-0000CC020000}"/>
    <cellStyle name="Normal 2 8 12" xfId="277" xr:uid="{00000000-0005-0000-0000-0000CD020000}"/>
    <cellStyle name="Normal 2 8 13" xfId="278" xr:uid="{00000000-0005-0000-0000-0000CE020000}"/>
    <cellStyle name="Normal 2 8 2" xfId="279" xr:uid="{00000000-0005-0000-0000-0000CF020000}"/>
    <cellStyle name="Normal 2 8 3" xfId="280" xr:uid="{00000000-0005-0000-0000-0000D0020000}"/>
    <cellStyle name="Normal 2 8 4" xfId="281" xr:uid="{00000000-0005-0000-0000-0000D1020000}"/>
    <cellStyle name="Normal 2 8 5" xfId="282" xr:uid="{00000000-0005-0000-0000-0000D2020000}"/>
    <cellStyle name="Normal 2 8 6" xfId="283" xr:uid="{00000000-0005-0000-0000-0000D3020000}"/>
    <cellStyle name="Normal 2 8 7" xfId="284" xr:uid="{00000000-0005-0000-0000-0000D4020000}"/>
    <cellStyle name="Normal 2 8 8" xfId="285" xr:uid="{00000000-0005-0000-0000-0000D5020000}"/>
    <cellStyle name="Normal 2 8 9" xfId="286" xr:uid="{00000000-0005-0000-0000-0000D6020000}"/>
    <cellStyle name="Normal 2 8_lançamento CD" xfId="287" xr:uid="{00000000-0005-0000-0000-0000D7020000}"/>
    <cellStyle name="Normal 2 9" xfId="288" xr:uid="{00000000-0005-0000-0000-0000D8020000}"/>
    <cellStyle name="Normal 2 9 2" xfId="289" xr:uid="{00000000-0005-0000-0000-0000D9020000}"/>
    <cellStyle name="Normal 2 9_lançamento CD" xfId="290" xr:uid="{00000000-0005-0000-0000-0000DA020000}"/>
    <cellStyle name="Normal 2_ABC-RECEITA" xfId="1248" xr:uid="{00000000-0005-0000-0000-0000DB020000}"/>
    <cellStyle name="Normal 20" xfId="291" xr:uid="{00000000-0005-0000-0000-0000DC020000}"/>
    <cellStyle name="Normal 20 2" xfId="656" xr:uid="{00000000-0005-0000-0000-0000DD020000}"/>
    <cellStyle name="Normal 20 3" xfId="539" xr:uid="{00000000-0005-0000-0000-0000DE020000}"/>
    <cellStyle name="Normal 21" xfId="292" xr:uid="{00000000-0005-0000-0000-0000DF020000}"/>
    <cellStyle name="Normal 21 2" xfId="657" xr:uid="{00000000-0005-0000-0000-0000E0020000}"/>
    <cellStyle name="Normal 21 3" xfId="540" xr:uid="{00000000-0005-0000-0000-0000E1020000}"/>
    <cellStyle name="Normal 22" xfId="293" xr:uid="{00000000-0005-0000-0000-0000E2020000}"/>
    <cellStyle name="Normal 22 2" xfId="658" xr:uid="{00000000-0005-0000-0000-0000E3020000}"/>
    <cellStyle name="Normal 22 3" xfId="541" xr:uid="{00000000-0005-0000-0000-0000E4020000}"/>
    <cellStyle name="Normal 23" xfId="294" xr:uid="{00000000-0005-0000-0000-0000E5020000}"/>
    <cellStyle name="Normal 23 2" xfId="659" xr:uid="{00000000-0005-0000-0000-0000E6020000}"/>
    <cellStyle name="Normal 23 3" xfId="542" xr:uid="{00000000-0005-0000-0000-0000E7020000}"/>
    <cellStyle name="Normal 24" xfId="295" xr:uid="{00000000-0005-0000-0000-0000E8020000}"/>
    <cellStyle name="Normal 24 2" xfId="660" xr:uid="{00000000-0005-0000-0000-0000E9020000}"/>
    <cellStyle name="Normal 24 3" xfId="543" xr:uid="{00000000-0005-0000-0000-0000EA020000}"/>
    <cellStyle name="Normal 25" xfId="296" xr:uid="{00000000-0005-0000-0000-0000EB020000}"/>
    <cellStyle name="Normal 25 2" xfId="661" xr:uid="{00000000-0005-0000-0000-0000EC020000}"/>
    <cellStyle name="Normal 25 3" xfId="544" xr:uid="{00000000-0005-0000-0000-0000ED020000}"/>
    <cellStyle name="Normal 26" xfId="297" xr:uid="{00000000-0005-0000-0000-0000EE020000}"/>
    <cellStyle name="Normal 27" xfId="298" xr:uid="{00000000-0005-0000-0000-0000EF020000}"/>
    <cellStyle name="Normal 27 2" xfId="662" xr:uid="{00000000-0005-0000-0000-0000F0020000}"/>
    <cellStyle name="Normal 27 3" xfId="545" xr:uid="{00000000-0005-0000-0000-0000F1020000}"/>
    <cellStyle name="Normal 28" xfId="299" xr:uid="{00000000-0005-0000-0000-0000F2020000}"/>
    <cellStyle name="Normal 28 2" xfId="663" xr:uid="{00000000-0005-0000-0000-0000F3020000}"/>
    <cellStyle name="Normal 28 3" xfId="546" xr:uid="{00000000-0005-0000-0000-0000F4020000}"/>
    <cellStyle name="Normal 29" xfId="300" xr:uid="{00000000-0005-0000-0000-0000F5020000}"/>
    <cellStyle name="Normal 29 2" xfId="664" xr:uid="{00000000-0005-0000-0000-0000F6020000}"/>
    <cellStyle name="Normal 29 3" xfId="547" xr:uid="{00000000-0005-0000-0000-0000F7020000}"/>
    <cellStyle name="Normal 3" xfId="44" xr:uid="{00000000-0005-0000-0000-0000F8020000}"/>
    <cellStyle name="Normal 3 10" xfId="301" xr:uid="{00000000-0005-0000-0000-0000F9020000}"/>
    <cellStyle name="Normal 3 11" xfId="302" xr:uid="{00000000-0005-0000-0000-0000FA020000}"/>
    <cellStyle name="Normal 3 12" xfId="303" xr:uid="{00000000-0005-0000-0000-0000FB020000}"/>
    <cellStyle name="Normal 3 13" xfId="304" xr:uid="{00000000-0005-0000-0000-0000FC020000}"/>
    <cellStyle name="Normal 3 14" xfId="305" xr:uid="{00000000-0005-0000-0000-0000FD020000}"/>
    <cellStyle name="Normal 3 15" xfId="306" xr:uid="{00000000-0005-0000-0000-0000FE020000}"/>
    <cellStyle name="Normal 3 16" xfId="307" xr:uid="{00000000-0005-0000-0000-0000FF020000}"/>
    <cellStyle name="Normal 3 17" xfId="308" xr:uid="{00000000-0005-0000-0000-000000030000}"/>
    <cellStyle name="Normal 3 18" xfId="309" xr:uid="{00000000-0005-0000-0000-000001030000}"/>
    <cellStyle name="Normal 3 19" xfId="310" xr:uid="{00000000-0005-0000-0000-000002030000}"/>
    <cellStyle name="Normal 3 2" xfId="311" xr:uid="{00000000-0005-0000-0000-000003030000}"/>
    <cellStyle name="Normal 3 2 2" xfId="665" xr:uid="{00000000-0005-0000-0000-000004030000}"/>
    <cellStyle name="Normal 3 2 3" xfId="552" xr:uid="{00000000-0005-0000-0000-000005030000}"/>
    <cellStyle name="Normal 3 20" xfId="312" xr:uid="{00000000-0005-0000-0000-000006030000}"/>
    <cellStyle name="Normal 3 21" xfId="313" xr:uid="{00000000-0005-0000-0000-000007030000}"/>
    <cellStyle name="Normal 3 22" xfId="314" xr:uid="{00000000-0005-0000-0000-000008030000}"/>
    <cellStyle name="Normal 3 23" xfId="315" xr:uid="{00000000-0005-0000-0000-000009030000}"/>
    <cellStyle name="Normal 3 24" xfId="316" xr:uid="{00000000-0005-0000-0000-00000A030000}"/>
    <cellStyle name="Normal 3 25" xfId="317" xr:uid="{00000000-0005-0000-0000-00000B030000}"/>
    <cellStyle name="Normal 3 26" xfId="318" xr:uid="{00000000-0005-0000-0000-00000C030000}"/>
    <cellStyle name="Normal 3 27" xfId="319" xr:uid="{00000000-0005-0000-0000-00000D030000}"/>
    <cellStyle name="Normal 3 28" xfId="320" xr:uid="{00000000-0005-0000-0000-00000E030000}"/>
    <cellStyle name="Normal 3 29" xfId="321" xr:uid="{00000000-0005-0000-0000-00000F030000}"/>
    <cellStyle name="Normal 3 3" xfId="322" xr:uid="{00000000-0005-0000-0000-000010030000}"/>
    <cellStyle name="Normal 3 3 2" xfId="666" xr:uid="{00000000-0005-0000-0000-000011030000}"/>
    <cellStyle name="Normal 3 3 3" xfId="556" xr:uid="{00000000-0005-0000-0000-000012030000}"/>
    <cellStyle name="Normal 3 30" xfId="323" xr:uid="{00000000-0005-0000-0000-000013030000}"/>
    <cellStyle name="Normal 3 31" xfId="324" xr:uid="{00000000-0005-0000-0000-000014030000}"/>
    <cellStyle name="Normal 3 32" xfId="1523" xr:uid="{00000000-0005-0000-0000-000015030000}"/>
    <cellStyle name="Normal 3 4" xfId="325" xr:uid="{00000000-0005-0000-0000-000016030000}"/>
    <cellStyle name="Normal 3 4 2" xfId="1249" xr:uid="{00000000-0005-0000-0000-000017030000}"/>
    <cellStyle name="Normal 3 5" xfId="326" xr:uid="{00000000-0005-0000-0000-000018030000}"/>
    <cellStyle name="Normal 3 6" xfId="327" xr:uid="{00000000-0005-0000-0000-000019030000}"/>
    <cellStyle name="Normal 3 7" xfId="328" xr:uid="{00000000-0005-0000-0000-00001A030000}"/>
    <cellStyle name="Normal 3 8" xfId="329" xr:uid="{00000000-0005-0000-0000-00001B030000}"/>
    <cellStyle name="Normal 3 9" xfId="330" xr:uid="{00000000-0005-0000-0000-00001C030000}"/>
    <cellStyle name="Normal 3_8a Medicao Parcial - Mar10" xfId="331" xr:uid="{00000000-0005-0000-0000-00001D030000}"/>
    <cellStyle name="Normal 30" xfId="332" xr:uid="{00000000-0005-0000-0000-00001E030000}"/>
    <cellStyle name="Normal 30 2" xfId="667" xr:uid="{00000000-0005-0000-0000-00001F030000}"/>
    <cellStyle name="Normal 30 3" xfId="559" xr:uid="{00000000-0005-0000-0000-000020030000}"/>
    <cellStyle name="Normal 31" xfId="333" xr:uid="{00000000-0005-0000-0000-000021030000}"/>
    <cellStyle name="Normal 32" xfId="62" xr:uid="{00000000-0005-0000-0000-000022030000}"/>
    <cellStyle name="Normal 33" xfId="334" xr:uid="{00000000-0005-0000-0000-000023030000}"/>
    <cellStyle name="Normal 34" xfId="335" xr:uid="{00000000-0005-0000-0000-000024030000}"/>
    <cellStyle name="Normal 35" xfId="336" xr:uid="{00000000-0005-0000-0000-000025030000}"/>
    <cellStyle name="Normal 36" xfId="337" xr:uid="{00000000-0005-0000-0000-000026030000}"/>
    <cellStyle name="Normal 37" xfId="338" xr:uid="{00000000-0005-0000-0000-000027030000}"/>
    <cellStyle name="Normal 38" xfId="63" xr:uid="{00000000-0005-0000-0000-000028030000}"/>
    <cellStyle name="Normal 39" xfId="339" xr:uid="{00000000-0005-0000-0000-000029030000}"/>
    <cellStyle name="Normal 4" xfId="340" xr:uid="{00000000-0005-0000-0000-00002A030000}"/>
    <cellStyle name="Normal 4 2" xfId="341" xr:uid="{00000000-0005-0000-0000-00002B030000}"/>
    <cellStyle name="Normal 4 2 2" xfId="1250" xr:uid="{00000000-0005-0000-0000-00002C030000}"/>
    <cellStyle name="Normal 4 3" xfId="1251" xr:uid="{00000000-0005-0000-0000-00002D030000}"/>
    <cellStyle name="Normal 4 4" xfId="1252" xr:uid="{00000000-0005-0000-0000-00002E030000}"/>
    <cellStyle name="Normal 4 5" xfId="1527" xr:uid="{00000000-0005-0000-0000-00002F030000}"/>
    <cellStyle name="Normal 4_14° Medição Parcial" xfId="1253" xr:uid="{00000000-0005-0000-0000-000030030000}"/>
    <cellStyle name="Normal 40" xfId="64" xr:uid="{00000000-0005-0000-0000-000031030000}"/>
    <cellStyle name="Normal 41" xfId="65" xr:uid="{00000000-0005-0000-0000-000032030000}"/>
    <cellStyle name="Normal 42" xfId="979" xr:uid="{00000000-0005-0000-0000-000033030000}"/>
    <cellStyle name="Normal 43" xfId="1516" xr:uid="{00000000-0005-0000-0000-000034030000}"/>
    <cellStyle name="Normal 44" xfId="1533" xr:uid="{172FD7AC-2D60-46CD-A83F-C428BA72F970}"/>
    <cellStyle name="Normal 45" xfId="1531" xr:uid="{8EBB444C-2F95-462C-9785-F9C5537C27E7}"/>
    <cellStyle name="Normal 46" xfId="1534" xr:uid="{114BFB20-05C9-4C96-8995-3B0E36D5BD72}"/>
    <cellStyle name="Normal 47" xfId="1535" xr:uid="{20FE1F6A-7DC7-4743-803A-E2A7929C0CCF}"/>
    <cellStyle name="Normal 5" xfId="342" xr:uid="{00000000-0005-0000-0000-000035030000}"/>
    <cellStyle name="Normal 5 2" xfId="343" xr:uid="{00000000-0005-0000-0000-000036030000}"/>
    <cellStyle name="Normal 5 3" xfId="1254" xr:uid="{00000000-0005-0000-0000-000037030000}"/>
    <cellStyle name="Normal 5 4" xfId="1255" xr:uid="{00000000-0005-0000-0000-000038030000}"/>
    <cellStyle name="Normal 5_06 Medição " xfId="1256" xr:uid="{00000000-0005-0000-0000-000039030000}"/>
    <cellStyle name="Normal 54 2" xfId="1257" xr:uid="{00000000-0005-0000-0000-00003A030000}"/>
    <cellStyle name="Normal 59" xfId="1258" xr:uid="{00000000-0005-0000-0000-00003B030000}"/>
    <cellStyle name="Normal 6" xfId="344" xr:uid="{00000000-0005-0000-0000-00003C030000}"/>
    <cellStyle name="Normal 6 2" xfId="1259" xr:uid="{00000000-0005-0000-0000-00003D030000}"/>
    <cellStyle name="Normal 6 3" xfId="1260" xr:uid="{00000000-0005-0000-0000-00003E030000}"/>
    <cellStyle name="Normal 6 4" xfId="1261" xr:uid="{00000000-0005-0000-0000-00003F030000}"/>
    <cellStyle name="Normal 6 5" xfId="1262" xr:uid="{00000000-0005-0000-0000-000040030000}"/>
    <cellStyle name="Normal 60" xfId="1263" xr:uid="{00000000-0005-0000-0000-000041030000}"/>
    <cellStyle name="Normal 61" xfId="1264" xr:uid="{00000000-0005-0000-0000-000042030000}"/>
    <cellStyle name="Normal 62" xfId="1265" xr:uid="{00000000-0005-0000-0000-000043030000}"/>
    <cellStyle name="Normal 63" xfId="1266" xr:uid="{00000000-0005-0000-0000-000044030000}"/>
    <cellStyle name="Normal 64" xfId="1267" xr:uid="{00000000-0005-0000-0000-000045030000}"/>
    <cellStyle name="Normal 65" xfId="1268" xr:uid="{00000000-0005-0000-0000-000046030000}"/>
    <cellStyle name="Normal 65 2" xfId="1269" xr:uid="{00000000-0005-0000-0000-000047030000}"/>
    <cellStyle name="Normal 66" xfId="1270" xr:uid="{00000000-0005-0000-0000-000048030000}"/>
    <cellStyle name="Normal 67" xfId="1271" xr:uid="{00000000-0005-0000-0000-000049030000}"/>
    <cellStyle name="Normal 68" xfId="1272" xr:uid="{00000000-0005-0000-0000-00004A030000}"/>
    <cellStyle name="Normal 69" xfId="1273" xr:uid="{00000000-0005-0000-0000-00004B030000}"/>
    <cellStyle name="Normal 7" xfId="345" xr:uid="{00000000-0005-0000-0000-00004C030000}"/>
    <cellStyle name="Normal 70" xfId="1274" xr:uid="{00000000-0005-0000-0000-00004D030000}"/>
    <cellStyle name="Normal 71" xfId="1275" xr:uid="{00000000-0005-0000-0000-00004E030000}"/>
    <cellStyle name="Normal 72" xfId="1276" xr:uid="{00000000-0005-0000-0000-00004F030000}"/>
    <cellStyle name="Normal 73" xfId="1277" xr:uid="{00000000-0005-0000-0000-000050030000}"/>
    <cellStyle name="Normal 74" xfId="1278" xr:uid="{00000000-0005-0000-0000-000051030000}"/>
    <cellStyle name="Normal 75" xfId="1279" xr:uid="{00000000-0005-0000-0000-000052030000}"/>
    <cellStyle name="Normal 76" xfId="1280" xr:uid="{00000000-0005-0000-0000-000053030000}"/>
    <cellStyle name="Normal 77" xfId="1281" xr:uid="{00000000-0005-0000-0000-000054030000}"/>
    <cellStyle name="Normal 78" xfId="1282" xr:uid="{00000000-0005-0000-0000-000055030000}"/>
    <cellStyle name="Normal 78 2" xfId="1283" xr:uid="{00000000-0005-0000-0000-000056030000}"/>
    <cellStyle name="Normal 78 3" xfId="1284" xr:uid="{00000000-0005-0000-0000-000057030000}"/>
    <cellStyle name="Normal 79" xfId="1285" xr:uid="{00000000-0005-0000-0000-000058030000}"/>
    <cellStyle name="Normal 79 2" xfId="1286" xr:uid="{00000000-0005-0000-0000-000059030000}"/>
    <cellStyle name="Normal 8" xfId="346" xr:uid="{00000000-0005-0000-0000-00005A030000}"/>
    <cellStyle name="Normal 8 2" xfId="1287" xr:uid="{00000000-0005-0000-0000-00005B030000}"/>
    <cellStyle name="Normal 8 3" xfId="1288" xr:uid="{00000000-0005-0000-0000-00005C030000}"/>
    <cellStyle name="Normal 8 4" xfId="1289" xr:uid="{00000000-0005-0000-0000-00005D030000}"/>
    <cellStyle name="Normal 8 5" xfId="1290" xr:uid="{00000000-0005-0000-0000-00005E030000}"/>
    <cellStyle name="Normal 8 6" xfId="1291" xr:uid="{00000000-0005-0000-0000-00005F030000}"/>
    <cellStyle name="Normal 8 7" xfId="1292" xr:uid="{00000000-0005-0000-0000-000060030000}"/>
    <cellStyle name="Normal 8 8" xfId="1293" xr:uid="{00000000-0005-0000-0000-000061030000}"/>
    <cellStyle name="Normal 80" xfId="1294" xr:uid="{00000000-0005-0000-0000-000062030000}"/>
    <cellStyle name="Normal 80 2" xfId="1295" xr:uid="{00000000-0005-0000-0000-000063030000}"/>
    <cellStyle name="Normal 81" xfId="1296" xr:uid="{00000000-0005-0000-0000-000064030000}"/>
    <cellStyle name="Normal 81 2" xfId="1297" xr:uid="{00000000-0005-0000-0000-000065030000}"/>
    <cellStyle name="Normal 82" xfId="1298" xr:uid="{00000000-0005-0000-0000-000066030000}"/>
    <cellStyle name="Normal 82 2" xfId="1299" xr:uid="{00000000-0005-0000-0000-000067030000}"/>
    <cellStyle name="Normal 83" xfId="1300" xr:uid="{00000000-0005-0000-0000-000068030000}"/>
    <cellStyle name="Normal 83 2" xfId="1301" xr:uid="{00000000-0005-0000-0000-000069030000}"/>
    <cellStyle name="Normal 84" xfId="1302" xr:uid="{00000000-0005-0000-0000-00006A030000}"/>
    <cellStyle name="Normal 84 2" xfId="1303" xr:uid="{00000000-0005-0000-0000-00006B030000}"/>
    <cellStyle name="Normal 85" xfId="1304" xr:uid="{00000000-0005-0000-0000-00006C030000}"/>
    <cellStyle name="Normal 85 2" xfId="1305" xr:uid="{00000000-0005-0000-0000-00006D030000}"/>
    <cellStyle name="Normal 86" xfId="1306" xr:uid="{00000000-0005-0000-0000-00006E030000}"/>
    <cellStyle name="Normal 87" xfId="1307" xr:uid="{00000000-0005-0000-0000-00006F030000}"/>
    <cellStyle name="Normal 88" xfId="1308" xr:uid="{00000000-0005-0000-0000-000070030000}"/>
    <cellStyle name="Normal 89" xfId="1309" xr:uid="{00000000-0005-0000-0000-000071030000}"/>
    <cellStyle name="Normal 9" xfId="347" xr:uid="{00000000-0005-0000-0000-000072030000}"/>
    <cellStyle name="Normal 9 10" xfId="1310" xr:uid="{00000000-0005-0000-0000-000073030000}"/>
    <cellStyle name="Normal 9 10 2" xfId="1311" xr:uid="{00000000-0005-0000-0000-000074030000}"/>
    <cellStyle name="Normal 9 2" xfId="1312" xr:uid="{00000000-0005-0000-0000-000075030000}"/>
    <cellStyle name="Normal 9 2 2" xfId="1313" xr:uid="{00000000-0005-0000-0000-000076030000}"/>
    <cellStyle name="Normal 9 3" xfId="1314" xr:uid="{00000000-0005-0000-0000-000077030000}"/>
    <cellStyle name="Normal 9 3 2" xfId="1315" xr:uid="{00000000-0005-0000-0000-000078030000}"/>
    <cellStyle name="Normal 9 4" xfId="1316" xr:uid="{00000000-0005-0000-0000-000079030000}"/>
    <cellStyle name="Normal 9 4 2" xfId="1317" xr:uid="{00000000-0005-0000-0000-00007A030000}"/>
    <cellStyle name="Normal 9 5" xfId="1318" xr:uid="{00000000-0005-0000-0000-00007B030000}"/>
    <cellStyle name="Normal 9 5 2" xfId="1319" xr:uid="{00000000-0005-0000-0000-00007C030000}"/>
    <cellStyle name="Normal 9 6" xfId="1320" xr:uid="{00000000-0005-0000-0000-00007D030000}"/>
    <cellStyle name="Normal 9 6 2" xfId="1321" xr:uid="{00000000-0005-0000-0000-00007E030000}"/>
    <cellStyle name="Normal 9 7" xfId="1322" xr:uid="{00000000-0005-0000-0000-00007F030000}"/>
    <cellStyle name="Normal 9 7 2" xfId="1323" xr:uid="{00000000-0005-0000-0000-000080030000}"/>
    <cellStyle name="Normal 9 8" xfId="1324" xr:uid="{00000000-0005-0000-0000-000081030000}"/>
    <cellStyle name="Normal 9 8 2" xfId="1325" xr:uid="{00000000-0005-0000-0000-000082030000}"/>
    <cellStyle name="Normal 9 9" xfId="1326" xr:uid="{00000000-0005-0000-0000-000083030000}"/>
    <cellStyle name="Normal 9 9 2" xfId="1327" xr:uid="{00000000-0005-0000-0000-000084030000}"/>
    <cellStyle name="Normal 9 9 2 2" xfId="1328" xr:uid="{00000000-0005-0000-0000-000085030000}"/>
    <cellStyle name="Normal 9 9 3" xfId="1329" xr:uid="{00000000-0005-0000-0000-000086030000}"/>
    <cellStyle name="Normal 90" xfId="1330" xr:uid="{00000000-0005-0000-0000-000087030000}"/>
    <cellStyle name="Normal 91" xfId="1331" xr:uid="{00000000-0005-0000-0000-000088030000}"/>
    <cellStyle name="Normal 92" xfId="1332" xr:uid="{00000000-0005-0000-0000-000089030000}"/>
    <cellStyle name="Normal 93" xfId="1333" xr:uid="{00000000-0005-0000-0000-00008A030000}"/>
    <cellStyle name="Normal 94" xfId="1334" xr:uid="{00000000-0005-0000-0000-00008B030000}"/>
    <cellStyle name="Normal 95" xfId="1335" xr:uid="{00000000-0005-0000-0000-00008C030000}"/>
    <cellStyle name="Normal 96" xfId="1336" xr:uid="{00000000-0005-0000-0000-00008D030000}"/>
    <cellStyle name="Normal 97" xfId="1337" xr:uid="{00000000-0005-0000-0000-00008E030000}"/>
    <cellStyle name="Normal 98" xfId="1338" xr:uid="{00000000-0005-0000-0000-00008F030000}"/>
    <cellStyle name="Normal 99" xfId="1339" xr:uid="{00000000-0005-0000-0000-000090030000}"/>
    <cellStyle name="Nota" xfId="19" builtinId="10" customBuiltin="1"/>
    <cellStyle name="Nota 2" xfId="348" xr:uid="{00000000-0005-0000-0000-000092030000}"/>
    <cellStyle name="Nota 2 2" xfId="668" xr:uid="{00000000-0005-0000-0000-000093030000}"/>
    <cellStyle name="Nota 2 2 2" xfId="730" xr:uid="{00000000-0005-0000-0000-000094030000}"/>
    <cellStyle name="Nota 2 2 2 2" xfId="936" xr:uid="{00000000-0005-0000-0000-000095030000}"/>
    <cellStyle name="Nota 2 2 3" xfId="589" xr:uid="{00000000-0005-0000-0000-000096030000}"/>
    <cellStyle name="Nota 2 2 3 2" xfId="884" xr:uid="{00000000-0005-0000-0000-000097030000}"/>
    <cellStyle name="Nota 2 2 4" xfId="754" xr:uid="{00000000-0005-0000-0000-000098030000}"/>
    <cellStyle name="Nota 2 2 4 2" xfId="951" xr:uid="{00000000-0005-0000-0000-000099030000}"/>
    <cellStyle name="Nota 2 2 5" xfId="769" xr:uid="{00000000-0005-0000-0000-00009A030000}"/>
    <cellStyle name="Nota 2 2 5 2" xfId="959" xr:uid="{00000000-0005-0000-0000-00009B030000}"/>
    <cellStyle name="Nota 2 2 6" xfId="784" xr:uid="{00000000-0005-0000-0000-00009C030000}"/>
    <cellStyle name="Nota 2 2 6 2" xfId="966" xr:uid="{00000000-0005-0000-0000-00009D030000}"/>
    <cellStyle name="Nota 2 2 7" xfId="798" xr:uid="{00000000-0005-0000-0000-00009E030000}"/>
    <cellStyle name="Nota 2 2 7 2" xfId="973" xr:uid="{00000000-0005-0000-0000-00009F030000}"/>
    <cellStyle name="Nota 2 2 8" xfId="906" xr:uid="{00000000-0005-0000-0000-0000A0030000}"/>
    <cellStyle name="Nota 2 3" xfId="563" xr:uid="{00000000-0005-0000-0000-0000A1030000}"/>
    <cellStyle name="Nota 2 3 2" xfId="873" xr:uid="{00000000-0005-0000-0000-0000A2030000}"/>
    <cellStyle name="Nota 2 4" xfId="534" xr:uid="{00000000-0005-0000-0000-0000A3030000}"/>
    <cellStyle name="Nota 2 4 2" xfId="860" xr:uid="{00000000-0005-0000-0000-0000A4030000}"/>
    <cellStyle name="Nota 2 5" xfId="702" xr:uid="{00000000-0005-0000-0000-0000A5030000}"/>
    <cellStyle name="Nota 2 5 2" xfId="916" xr:uid="{00000000-0005-0000-0000-0000A6030000}"/>
    <cellStyle name="Nota 2 6" xfId="492" xr:uid="{00000000-0005-0000-0000-0000A7030000}"/>
    <cellStyle name="Nota 2 6 2" xfId="830" xr:uid="{00000000-0005-0000-0000-0000A8030000}"/>
    <cellStyle name="Nota 2 7" xfId="759" xr:uid="{00000000-0005-0000-0000-0000A9030000}"/>
    <cellStyle name="Nota 2 7 2" xfId="956" xr:uid="{00000000-0005-0000-0000-0000AA030000}"/>
    <cellStyle name="Nota 2 8" xfId="473" xr:uid="{00000000-0005-0000-0000-0000AB030000}"/>
    <cellStyle name="Nota 2 8 2" xfId="826" xr:uid="{00000000-0005-0000-0000-0000AC030000}"/>
    <cellStyle name="Nota 2 9" xfId="819" xr:uid="{00000000-0005-0000-0000-0000AD030000}"/>
    <cellStyle name="Nota 3" xfId="629" xr:uid="{00000000-0005-0000-0000-0000AE030000}"/>
    <cellStyle name="Nota 3 2" xfId="1340" xr:uid="{00000000-0005-0000-0000-0000AF030000}"/>
    <cellStyle name="Nota 3 3" xfId="1341" xr:uid="{00000000-0005-0000-0000-0000B0030000}"/>
    <cellStyle name="Nota 3 4" xfId="1342" xr:uid="{00000000-0005-0000-0000-0000B1030000}"/>
    <cellStyle name="Nota 3 5" xfId="1343" xr:uid="{00000000-0005-0000-0000-0000B2030000}"/>
    <cellStyle name="Nota 3 6" xfId="1344" xr:uid="{00000000-0005-0000-0000-0000B3030000}"/>
    <cellStyle name="Nota 3 7" xfId="1345" xr:uid="{00000000-0005-0000-0000-0000B4030000}"/>
    <cellStyle name="Nota 3 8" xfId="1346" xr:uid="{00000000-0005-0000-0000-0000B5030000}"/>
    <cellStyle name="Nota 4" xfId="476" xr:uid="{00000000-0005-0000-0000-0000B6030000}"/>
    <cellStyle name="Nota 4 2" xfId="1347" xr:uid="{00000000-0005-0000-0000-0000B7030000}"/>
    <cellStyle name="Nota 4 3" xfId="1348" xr:uid="{00000000-0005-0000-0000-0000B8030000}"/>
    <cellStyle name="Nota 4 4" xfId="1349" xr:uid="{00000000-0005-0000-0000-0000B9030000}"/>
    <cellStyle name="Nota 4 5" xfId="1350" xr:uid="{00000000-0005-0000-0000-0000BA030000}"/>
    <cellStyle name="Nota 4 6" xfId="1351" xr:uid="{00000000-0005-0000-0000-0000BB030000}"/>
    <cellStyle name="Nota 4 7" xfId="1352" xr:uid="{00000000-0005-0000-0000-0000BC030000}"/>
    <cellStyle name="Nota 4 8" xfId="1353" xr:uid="{00000000-0005-0000-0000-0000BD030000}"/>
    <cellStyle name="Nota 5" xfId="1354" xr:uid="{00000000-0005-0000-0000-0000BE030000}"/>
    <cellStyle name="Nota 5 2" xfId="1355" xr:uid="{00000000-0005-0000-0000-0000BF030000}"/>
    <cellStyle name="Nota 5 3" xfId="1356" xr:uid="{00000000-0005-0000-0000-0000C0030000}"/>
    <cellStyle name="Nota 5 4" xfId="1357" xr:uid="{00000000-0005-0000-0000-0000C1030000}"/>
    <cellStyle name="Nota 5 5" xfId="1358" xr:uid="{00000000-0005-0000-0000-0000C2030000}"/>
    <cellStyle name="Nota 5 6" xfId="1359" xr:uid="{00000000-0005-0000-0000-0000C3030000}"/>
    <cellStyle name="Nota 5 7" xfId="1360" xr:uid="{00000000-0005-0000-0000-0000C4030000}"/>
    <cellStyle name="Nota 5 8" xfId="1361" xr:uid="{00000000-0005-0000-0000-0000C5030000}"/>
    <cellStyle name="Note" xfId="349" xr:uid="{00000000-0005-0000-0000-0000C6030000}"/>
    <cellStyle name="Note 2" xfId="669" xr:uid="{00000000-0005-0000-0000-0000C7030000}"/>
    <cellStyle name="Note 2 2" xfId="731" xr:uid="{00000000-0005-0000-0000-0000C8030000}"/>
    <cellStyle name="Note 2 2 2" xfId="937" xr:uid="{00000000-0005-0000-0000-0000C9030000}"/>
    <cellStyle name="Note 2 3" xfId="590" xr:uid="{00000000-0005-0000-0000-0000CA030000}"/>
    <cellStyle name="Note 2 3 2" xfId="885" xr:uid="{00000000-0005-0000-0000-0000CB030000}"/>
    <cellStyle name="Note 2 4" xfId="755" xr:uid="{00000000-0005-0000-0000-0000CC030000}"/>
    <cellStyle name="Note 2 4 2" xfId="952" xr:uid="{00000000-0005-0000-0000-0000CD030000}"/>
    <cellStyle name="Note 2 5" xfId="770" xr:uid="{00000000-0005-0000-0000-0000CE030000}"/>
    <cellStyle name="Note 2 5 2" xfId="960" xr:uid="{00000000-0005-0000-0000-0000CF030000}"/>
    <cellStyle name="Note 2 6" xfId="785" xr:uid="{00000000-0005-0000-0000-0000D0030000}"/>
    <cellStyle name="Note 2 6 2" xfId="967" xr:uid="{00000000-0005-0000-0000-0000D1030000}"/>
    <cellStyle name="Note 2 7" xfId="799" xr:uid="{00000000-0005-0000-0000-0000D2030000}"/>
    <cellStyle name="Note 2 7 2" xfId="974" xr:uid="{00000000-0005-0000-0000-0000D3030000}"/>
    <cellStyle name="Note 2 8" xfId="907" xr:uid="{00000000-0005-0000-0000-0000D4030000}"/>
    <cellStyle name="Note 3" xfId="564" xr:uid="{00000000-0005-0000-0000-0000D5030000}"/>
    <cellStyle name="Note 3 2" xfId="874" xr:uid="{00000000-0005-0000-0000-0000D6030000}"/>
    <cellStyle name="Note 4" xfId="535" xr:uid="{00000000-0005-0000-0000-0000D7030000}"/>
    <cellStyle name="Note 4 2" xfId="861" xr:uid="{00000000-0005-0000-0000-0000D8030000}"/>
    <cellStyle name="Note 5" xfId="735" xr:uid="{00000000-0005-0000-0000-0000D9030000}"/>
    <cellStyle name="Note 5 2" xfId="941" xr:uid="{00000000-0005-0000-0000-0000DA030000}"/>
    <cellStyle name="Note 6" xfId="743" xr:uid="{00000000-0005-0000-0000-0000DB030000}"/>
    <cellStyle name="Note 6 2" xfId="948" xr:uid="{00000000-0005-0000-0000-0000DC030000}"/>
    <cellStyle name="Note 7" xfId="519" xr:uid="{00000000-0005-0000-0000-0000DD030000}"/>
    <cellStyle name="Note 7 2" xfId="849" xr:uid="{00000000-0005-0000-0000-0000DE030000}"/>
    <cellStyle name="Note 8" xfId="740" xr:uid="{00000000-0005-0000-0000-0000DF030000}"/>
    <cellStyle name="Note 8 2" xfId="946" xr:uid="{00000000-0005-0000-0000-0000E0030000}"/>
    <cellStyle name="Note 9" xfId="820" xr:uid="{00000000-0005-0000-0000-0000E1030000}"/>
    <cellStyle name="Numero" xfId="350" xr:uid="{00000000-0005-0000-0000-0000E2030000}"/>
    <cellStyle name="Œ…‹æØ‚è [0.00]_COST_SUM" xfId="351" xr:uid="{00000000-0005-0000-0000-0000E3030000}"/>
    <cellStyle name="Œ…‹æØ‚è_COST_SUM" xfId="352" xr:uid="{00000000-0005-0000-0000-0000E4030000}"/>
    <cellStyle name="Output" xfId="353" xr:uid="{00000000-0005-0000-0000-0000E5030000}"/>
    <cellStyle name="Output 10" xfId="821" xr:uid="{00000000-0005-0000-0000-0000E6030000}"/>
    <cellStyle name="Output 2" xfId="670" xr:uid="{00000000-0005-0000-0000-0000E7030000}"/>
    <cellStyle name="Output 2 2" xfId="732" xr:uid="{00000000-0005-0000-0000-0000E8030000}"/>
    <cellStyle name="Output 2 2 2" xfId="938" xr:uid="{00000000-0005-0000-0000-0000E9030000}"/>
    <cellStyle name="Output 2 3" xfId="591" xr:uid="{00000000-0005-0000-0000-0000EA030000}"/>
    <cellStyle name="Output 2 3 2" xfId="886" xr:uid="{00000000-0005-0000-0000-0000EB030000}"/>
    <cellStyle name="Output 2 4" xfId="756" xr:uid="{00000000-0005-0000-0000-0000EC030000}"/>
    <cellStyle name="Output 2 4 2" xfId="953" xr:uid="{00000000-0005-0000-0000-0000ED030000}"/>
    <cellStyle name="Output 2 5" xfId="771" xr:uid="{00000000-0005-0000-0000-0000EE030000}"/>
    <cellStyle name="Output 2 5 2" xfId="961" xr:uid="{00000000-0005-0000-0000-0000EF030000}"/>
    <cellStyle name="Output 2 6" xfId="786" xr:uid="{00000000-0005-0000-0000-0000F0030000}"/>
    <cellStyle name="Output 2 6 2" xfId="968" xr:uid="{00000000-0005-0000-0000-0000F1030000}"/>
    <cellStyle name="Output 2 7" xfId="800" xr:uid="{00000000-0005-0000-0000-0000F2030000}"/>
    <cellStyle name="Output 2 7 2" xfId="975" xr:uid="{00000000-0005-0000-0000-0000F3030000}"/>
    <cellStyle name="Output 2 8" xfId="908" xr:uid="{00000000-0005-0000-0000-0000F4030000}"/>
    <cellStyle name="Output 3" xfId="567" xr:uid="{00000000-0005-0000-0000-0000F5030000}"/>
    <cellStyle name="Output 3 2" xfId="876" xr:uid="{00000000-0005-0000-0000-0000F6030000}"/>
    <cellStyle name="Output 4" xfId="511" xr:uid="{00000000-0005-0000-0000-0000F7030000}"/>
    <cellStyle name="Output 4 2" xfId="842" xr:uid="{00000000-0005-0000-0000-0000F8030000}"/>
    <cellStyle name="Output 5" xfId="536" xr:uid="{00000000-0005-0000-0000-0000F9030000}"/>
    <cellStyle name="Output 5 2" xfId="862" xr:uid="{00000000-0005-0000-0000-0000FA030000}"/>
    <cellStyle name="Output 6" xfId="516" xr:uid="{00000000-0005-0000-0000-0000FB030000}"/>
    <cellStyle name="Output 6 2" xfId="847" xr:uid="{00000000-0005-0000-0000-0000FC030000}"/>
    <cellStyle name="Output 7" xfId="530" xr:uid="{00000000-0005-0000-0000-0000FD030000}"/>
    <cellStyle name="Output 7 2" xfId="856" xr:uid="{00000000-0005-0000-0000-0000FE030000}"/>
    <cellStyle name="Output 8" xfId="493" xr:uid="{00000000-0005-0000-0000-0000FF030000}"/>
    <cellStyle name="Output 8 2" xfId="831" xr:uid="{00000000-0005-0000-0000-000000040000}"/>
    <cellStyle name="Output 9" xfId="528" xr:uid="{00000000-0005-0000-0000-000001040000}"/>
    <cellStyle name="Output 9 2" xfId="854" xr:uid="{00000000-0005-0000-0000-000002040000}"/>
    <cellStyle name="Percent" xfId="354" xr:uid="{00000000-0005-0000-0000-000003040000}"/>
    <cellStyle name="Percent 2" xfId="355" xr:uid="{00000000-0005-0000-0000-000004040000}"/>
    <cellStyle name="Percent 2 2" xfId="356" xr:uid="{00000000-0005-0000-0000-000005040000}"/>
    <cellStyle name="Percent 3" xfId="357" xr:uid="{00000000-0005-0000-0000-000006040000}"/>
    <cellStyle name="Percent 4" xfId="358" xr:uid="{00000000-0005-0000-0000-000007040000}"/>
    <cellStyle name="Percentual" xfId="359" xr:uid="{00000000-0005-0000-0000-000008040000}"/>
    <cellStyle name="planilhas" xfId="1362" xr:uid="{00000000-0005-0000-0000-000009040000}"/>
    <cellStyle name="Ponto" xfId="360" xr:uid="{00000000-0005-0000-0000-00000A040000}"/>
    <cellStyle name="Porcentagem" xfId="1528" builtinId="5"/>
    <cellStyle name="Porcentagem 10" xfId="55" xr:uid="{00000000-0005-0000-0000-00000C040000}"/>
    <cellStyle name="Porcentagem 10 2" xfId="1363" xr:uid="{00000000-0005-0000-0000-00000D040000}"/>
    <cellStyle name="Porcentagem 10 2 2" xfId="1364" xr:uid="{00000000-0005-0000-0000-00000E040000}"/>
    <cellStyle name="Porcentagem 10 3" xfId="1365" xr:uid="{00000000-0005-0000-0000-00000F040000}"/>
    <cellStyle name="Porcentagem 11" xfId="981" xr:uid="{00000000-0005-0000-0000-000010040000}"/>
    <cellStyle name="Porcentagem 11 2" xfId="1366" xr:uid="{00000000-0005-0000-0000-000011040000}"/>
    <cellStyle name="Porcentagem 11 2 2" xfId="1367" xr:uid="{00000000-0005-0000-0000-000012040000}"/>
    <cellStyle name="Porcentagem 11 3" xfId="1368" xr:uid="{00000000-0005-0000-0000-000013040000}"/>
    <cellStyle name="Porcentagem 12" xfId="1369" xr:uid="{00000000-0005-0000-0000-000014040000}"/>
    <cellStyle name="Porcentagem 12 2" xfId="1370" xr:uid="{00000000-0005-0000-0000-000015040000}"/>
    <cellStyle name="Porcentagem 12 2 2" xfId="1371" xr:uid="{00000000-0005-0000-0000-000016040000}"/>
    <cellStyle name="Porcentagem 12 3" xfId="1372" xr:uid="{00000000-0005-0000-0000-000017040000}"/>
    <cellStyle name="Porcentagem 13" xfId="1373" xr:uid="{00000000-0005-0000-0000-000018040000}"/>
    <cellStyle name="Porcentagem 13 2" xfId="1374" xr:uid="{00000000-0005-0000-0000-000019040000}"/>
    <cellStyle name="Porcentagem 14" xfId="1375" xr:uid="{00000000-0005-0000-0000-00001A040000}"/>
    <cellStyle name="Porcentagem 15" xfId="1376" xr:uid="{00000000-0005-0000-0000-00001B040000}"/>
    <cellStyle name="Porcentagem 16" xfId="1519" xr:uid="{00000000-0005-0000-0000-00001C040000}"/>
    <cellStyle name="Porcentagem 17" xfId="1529" xr:uid="{18F63101-A6F2-4FBA-8B94-21277F00874E}"/>
    <cellStyle name="Porcentagem 2" xfId="361" xr:uid="{00000000-0005-0000-0000-00001D040000}"/>
    <cellStyle name="Porcentagem 2 10" xfId="1524" xr:uid="{00000000-0005-0000-0000-00001E040000}"/>
    <cellStyle name="Porcentagem 2 2" xfId="362" xr:uid="{00000000-0005-0000-0000-00001F040000}"/>
    <cellStyle name="Porcentagem 2 2 10" xfId="1377" xr:uid="{00000000-0005-0000-0000-000020040000}"/>
    <cellStyle name="Porcentagem 2 2 10 2" xfId="1378" xr:uid="{00000000-0005-0000-0000-000021040000}"/>
    <cellStyle name="Porcentagem 2 2 11" xfId="1379" xr:uid="{00000000-0005-0000-0000-000022040000}"/>
    <cellStyle name="Porcentagem 2 2 11 2" xfId="1380" xr:uid="{00000000-0005-0000-0000-000023040000}"/>
    <cellStyle name="Porcentagem 2 2 12" xfId="1381" xr:uid="{00000000-0005-0000-0000-000024040000}"/>
    <cellStyle name="Porcentagem 2 2 12 2" xfId="1382" xr:uid="{00000000-0005-0000-0000-000025040000}"/>
    <cellStyle name="Porcentagem 2 2 13" xfId="1383" xr:uid="{00000000-0005-0000-0000-000026040000}"/>
    <cellStyle name="Porcentagem 2 2 13 2" xfId="1384" xr:uid="{00000000-0005-0000-0000-000027040000}"/>
    <cellStyle name="Porcentagem 2 2 14" xfId="1385" xr:uid="{00000000-0005-0000-0000-000028040000}"/>
    <cellStyle name="Porcentagem 2 2 14 2" xfId="1386" xr:uid="{00000000-0005-0000-0000-000029040000}"/>
    <cellStyle name="Porcentagem 2 2 2" xfId="1387" xr:uid="{00000000-0005-0000-0000-00002A040000}"/>
    <cellStyle name="Porcentagem 2 2 2 2" xfId="1388" xr:uid="{00000000-0005-0000-0000-00002B040000}"/>
    <cellStyle name="Porcentagem 2 2 2 3" xfId="1389" xr:uid="{00000000-0005-0000-0000-00002C040000}"/>
    <cellStyle name="Porcentagem 2 2 2 4" xfId="1390" xr:uid="{00000000-0005-0000-0000-00002D040000}"/>
    <cellStyle name="Porcentagem 2 2 2 5" xfId="1391" xr:uid="{00000000-0005-0000-0000-00002E040000}"/>
    <cellStyle name="Porcentagem 2 2 2 6" xfId="1392" xr:uid="{00000000-0005-0000-0000-00002F040000}"/>
    <cellStyle name="Porcentagem 2 2 2 7" xfId="1393" xr:uid="{00000000-0005-0000-0000-000030040000}"/>
    <cellStyle name="Porcentagem 2 2 2 8" xfId="1394" xr:uid="{00000000-0005-0000-0000-000031040000}"/>
    <cellStyle name="Porcentagem 2 2 2 9" xfId="1395" xr:uid="{00000000-0005-0000-0000-000032040000}"/>
    <cellStyle name="Porcentagem 2 2 3" xfId="1396" xr:uid="{00000000-0005-0000-0000-000033040000}"/>
    <cellStyle name="Porcentagem 2 2 4" xfId="1397" xr:uid="{00000000-0005-0000-0000-000034040000}"/>
    <cellStyle name="Porcentagem 2 2 5" xfId="1398" xr:uid="{00000000-0005-0000-0000-000035040000}"/>
    <cellStyle name="Porcentagem 2 2 6" xfId="1399" xr:uid="{00000000-0005-0000-0000-000036040000}"/>
    <cellStyle name="Porcentagem 2 2 7" xfId="1400" xr:uid="{00000000-0005-0000-0000-000037040000}"/>
    <cellStyle name="Porcentagem 2 2 8" xfId="1401" xr:uid="{00000000-0005-0000-0000-000038040000}"/>
    <cellStyle name="Porcentagem 2 2 9" xfId="1402" xr:uid="{00000000-0005-0000-0000-000039040000}"/>
    <cellStyle name="Porcentagem 2 2 9 2" xfId="1403" xr:uid="{00000000-0005-0000-0000-00003A040000}"/>
    <cellStyle name="Porcentagem 2 3" xfId="363" xr:uid="{00000000-0005-0000-0000-00003B040000}"/>
    <cellStyle name="Porcentagem 2 3 2" xfId="1404" xr:uid="{00000000-0005-0000-0000-00003C040000}"/>
    <cellStyle name="Porcentagem 2 4" xfId="364" xr:uid="{00000000-0005-0000-0000-00003D040000}"/>
    <cellStyle name="Porcentagem 2 4 2" xfId="1405" xr:uid="{00000000-0005-0000-0000-00003E040000}"/>
    <cellStyle name="Porcentagem 2 5" xfId="365" xr:uid="{00000000-0005-0000-0000-00003F040000}"/>
    <cellStyle name="Porcentagem 2 5 2" xfId="1406" xr:uid="{00000000-0005-0000-0000-000040040000}"/>
    <cellStyle name="Porcentagem 2 6" xfId="66" xr:uid="{00000000-0005-0000-0000-000041040000}"/>
    <cellStyle name="Porcentagem 2 6 2" xfId="1407" xr:uid="{00000000-0005-0000-0000-000042040000}"/>
    <cellStyle name="Porcentagem 2 7" xfId="1408" xr:uid="{00000000-0005-0000-0000-000043040000}"/>
    <cellStyle name="Porcentagem 2 7 2" xfId="1409" xr:uid="{00000000-0005-0000-0000-000044040000}"/>
    <cellStyle name="Porcentagem 2 8" xfId="1410" xr:uid="{00000000-0005-0000-0000-000045040000}"/>
    <cellStyle name="Porcentagem 2 8 2" xfId="1411" xr:uid="{00000000-0005-0000-0000-000046040000}"/>
    <cellStyle name="Porcentagem 2 9" xfId="1412" xr:uid="{00000000-0005-0000-0000-000047040000}"/>
    <cellStyle name="Porcentagem 3" xfId="366" xr:uid="{00000000-0005-0000-0000-000048040000}"/>
    <cellStyle name="Porcentagem 3 2" xfId="367" xr:uid="{00000000-0005-0000-0000-000049040000}"/>
    <cellStyle name="Porcentagem 4" xfId="368" xr:uid="{00000000-0005-0000-0000-00004A040000}"/>
    <cellStyle name="Porcentagem 4 2" xfId="1413" xr:uid="{00000000-0005-0000-0000-00004B040000}"/>
    <cellStyle name="Porcentagem 5" xfId="67" xr:uid="{00000000-0005-0000-0000-00004C040000}"/>
    <cellStyle name="Porcentagem 5 2" xfId="73" xr:uid="{00000000-0005-0000-0000-00004D040000}"/>
    <cellStyle name="Porcentagem 6" xfId="369" xr:uid="{00000000-0005-0000-0000-00004E040000}"/>
    <cellStyle name="Porcentagem 6 2" xfId="1414" xr:uid="{00000000-0005-0000-0000-00004F040000}"/>
    <cellStyle name="Porcentagem 6 3" xfId="1415" xr:uid="{00000000-0005-0000-0000-000050040000}"/>
    <cellStyle name="Porcentagem 7" xfId="370" xr:uid="{00000000-0005-0000-0000-000051040000}"/>
    <cellStyle name="Porcentagem 7 2" xfId="1416" xr:uid="{00000000-0005-0000-0000-000052040000}"/>
    <cellStyle name="Porcentagem 8" xfId="371" xr:uid="{00000000-0005-0000-0000-000053040000}"/>
    <cellStyle name="Porcentagem 9" xfId="372" xr:uid="{00000000-0005-0000-0000-000054040000}"/>
    <cellStyle name="Porcentagem 9 2" xfId="1417" xr:uid="{00000000-0005-0000-0000-000055040000}"/>
    <cellStyle name="Porcentaje" xfId="1418" xr:uid="{00000000-0005-0000-0000-000056040000}"/>
    <cellStyle name="RM" xfId="1419" xr:uid="{00000000-0005-0000-0000-000057040000}"/>
    <cellStyle name="Ruim" xfId="12" builtinId="27" customBuiltin="1"/>
    <cellStyle name="Saída" xfId="14" builtinId="21" customBuiltin="1"/>
    <cellStyle name="Saída 2" xfId="373" xr:uid="{00000000-0005-0000-0000-000059040000}"/>
    <cellStyle name="Saída 2 10" xfId="822" xr:uid="{00000000-0005-0000-0000-00005A040000}"/>
    <cellStyle name="Saída 2 2" xfId="671" xr:uid="{00000000-0005-0000-0000-00005B040000}"/>
    <cellStyle name="Saída 2 2 2" xfId="733" xr:uid="{00000000-0005-0000-0000-00005C040000}"/>
    <cellStyle name="Saída 2 2 2 2" xfId="939" xr:uid="{00000000-0005-0000-0000-00005D040000}"/>
    <cellStyle name="Saída 2 2 3" xfId="592" xr:uid="{00000000-0005-0000-0000-00005E040000}"/>
    <cellStyle name="Saída 2 2 3 2" xfId="887" xr:uid="{00000000-0005-0000-0000-00005F040000}"/>
    <cellStyle name="Saída 2 2 4" xfId="757" xr:uid="{00000000-0005-0000-0000-000060040000}"/>
    <cellStyle name="Saída 2 2 4 2" xfId="954" xr:uid="{00000000-0005-0000-0000-000061040000}"/>
    <cellStyle name="Saída 2 2 5" xfId="772" xr:uid="{00000000-0005-0000-0000-000062040000}"/>
    <cellStyle name="Saída 2 2 5 2" xfId="962" xr:uid="{00000000-0005-0000-0000-000063040000}"/>
    <cellStyle name="Saída 2 2 6" xfId="787" xr:uid="{00000000-0005-0000-0000-000064040000}"/>
    <cellStyle name="Saída 2 2 6 2" xfId="969" xr:uid="{00000000-0005-0000-0000-000065040000}"/>
    <cellStyle name="Saída 2 2 7" xfId="801" xr:uid="{00000000-0005-0000-0000-000066040000}"/>
    <cellStyle name="Saída 2 2 7 2" xfId="976" xr:uid="{00000000-0005-0000-0000-000067040000}"/>
    <cellStyle name="Saída 2 2 8" xfId="909" xr:uid="{00000000-0005-0000-0000-000068040000}"/>
    <cellStyle name="Saída 2 3" xfId="578" xr:uid="{00000000-0005-0000-0000-000069040000}"/>
    <cellStyle name="Saída 2 3 2" xfId="877" xr:uid="{00000000-0005-0000-0000-00006A040000}"/>
    <cellStyle name="Saída 2 4" xfId="507" xr:uid="{00000000-0005-0000-0000-00006B040000}"/>
    <cellStyle name="Saída 2 4 2" xfId="839" xr:uid="{00000000-0005-0000-0000-00006C040000}"/>
    <cellStyle name="Saída 2 5" xfId="729" xr:uid="{00000000-0005-0000-0000-00006D040000}"/>
    <cellStyle name="Saída 2 5 2" xfId="935" xr:uid="{00000000-0005-0000-0000-00006E040000}"/>
    <cellStyle name="Saída 2 6" xfId="510" xr:uid="{00000000-0005-0000-0000-00006F040000}"/>
    <cellStyle name="Saída 2 6 2" xfId="841" xr:uid="{00000000-0005-0000-0000-000070040000}"/>
    <cellStyle name="Saída 2 7" xfId="704" xr:uid="{00000000-0005-0000-0000-000071040000}"/>
    <cellStyle name="Saída 2 7 2" xfId="918" xr:uid="{00000000-0005-0000-0000-000072040000}"/>
    <cellStyle name="Saída 2 8" xfId="561" xr:uid="{00000000-0005-0000-0000-000073040000}"/>
    <cellStyle name="Saída 2 8 2" xfId="871" xr:uid="{00000000-0005-0000-0000-000074040000}"/>
    <cellStyle name="Saída 2 9" xfId="529" xr:uid="{00000000-0005-0000-0000-000075040000}"/>
    <cellStyle name="Saída 2 9 2" xfId="855" xr:uid="{00000000-0005-0000-0000-000076040000}"/>
    <cellStyle name="Saída 3" xfId="1420" xr:uid="{00000000-0005-0000-0000-000077040000}"/>
    <cellStyle name="Saída 4" xfId="1421" xr:uid="{00000000-0005-0000-0000-000078040000}"/>
    <cellStyle name="Separador de m" xfId="374" xr:uid="{00000000-0005-0000-0000-000079040000}"/>
    <cellStyle name="Separador de m 2" xfId="1422" xr:uid="{00000000-0005-0000-0000-00007A040000}"/>
    <cellStyle name="Separador de milhares 10" xfId="375" xr:uid="{00000000-0005-0000-0000-00007B040000}"/>
    <cellStyle name="Separador de milhares 10 4" xfId="1423" xr:uid="{00000000-0005-0000-0000-00007C040000}"/>
    <cellStyle name="Separador de milhares 10 4 2" xfId="1424" xr:uid="{00000000-0005-0000-0000-00007D040000}"/>
    <cellStyle name="Separador de milhares 10 4 3" xfId="1425" xr:uid="{00000000-0005-0000-0000-00007E040000}"/>
    <cellStyle name="Separador de milhares 11" xfId="376" xr:uid="{00000000-0005-0000-0000-00007F040000}"/>
    <cellStyle name="Separador de milhares 11 2" xfId="1426" xr:uid="{00000000-0005-0000-0000-000080040000}"/>
    <cellStyle name="Separador de milhares 12" xfId="377" xr:uid="{00000000-0005-0000-0000-000081040000}"/>
    <cellStyle name="Separador de milhares 13" xfId="378" xr:uid="{00000000-0005-0000-0000-000082040000}"/>
    <cellStyle name="Separador de milhares 13 2" xfId="672" xr:uid="{00000000-0005-0000-0000-000083040000}"/>
    <cellStyle name="Separador de milhares 13 3" xfId="582" xr:uid="{00000000-0005-0000-0000-000084040000}"/>
    <cellStyle name="Separador de milhares 14" xfId="68" xr:uid="{00000000-0005-0000-0000-000085040000}"/>
    <cellStyle name="Separador de milhares 14 2" xfId="71" xr:uid="{00000000-0005-0000-0000-000086040000}"/>
    <cellStyle name="Separador de milhares 14 2 2" xfId="644" xr:uid="{00000000-0005-0000-0000-000087040000}"/>
    <cellStyle name="Separador de milhares 14 2 3" xfId="497" xr:uid="{00000000-0005-0000-0000-000088040000}"/>
    <cellStyle name="Separador de milhares 15" xfId="379" xr:uid="{00000000-0005-0000-0000-000089040000}"/>
    <cellStyle name="Separador de milhares 15 2" xfId="673" xr:uid="{00000000-0005-0000-0000-00008A040000}"/>
    <cellStyle name="Separador de milhares 15 3" xfId="583" xr:uid="{00000000-0005-0000-0000-00008B040000}"/>
    <cellStyle name="Separador de milhares 16" xfId="380" xr:uid="{00000000-0005-0000-0000-00008C040000}"/>
    <cellStyle name="Separador de milhares 16 2" xfId="674" xr:uid="{00000000-0005-0000-0000-00008D040000}"/>
    <cellStyle name="Separador de milhares 16 3" xfId="584" xr:uid="{00000000-0005-0000-0000-00008E040000}"/>
    <cellStyle name="Separador de milhares 17" xfId="980" xr:uid="{00000000-0005-0000-0000-00008F040000}"/>
    <cellStyle name="Separador de milhares 19 2 2" xfId="1427" xr:uid="{00000000-0005-0000-0000-000090040000}"/>
    <cellStyle name="Separador de milhares 19 2 2 2" xfId="1428" xr:uid="{00000000-0005-0000-0000-000091040000}"/>
    <cellStyle name="Separador de milhares 2" xfId="381" xr:uid="{00000000-0005-0000-0000-000092040000}"/>
    <cellStyle name="Separador de milhares 2 10" xfId="382" xr:uid="{00000000-0005-0000-0000-000093040000}"/>
    <cellStyle name="Separador de milhares 2 11" xfId="383" xr:uid="{00000000-0005-0000-0000-000094040000}"/>
    <cellStyle name="Separador de milhares 2 12" xfId="384" xr:uid="{00000000-0005-0000-0000-000095040000}"/>
    <cellStyle name="Separador de milhares 2 13" xfId="385" xr:uid="{00000000-0005-0000-0000-000096040000}"/>
    <cellStyle name="Separador de milhares 2 14" xfId="386" xr:uid="{00000000-0005-0000-0000-000097040000}"/>
    <cellStyle name="Separador de milhares 2 15" xfId="387" xr:uid="{00000000-0005-0000-0000-000098040000}"/>
    <cellStyle name="Separador de milhares 2 16" xfId="388" xr:uid="{00000000-0005-0000-0000-000099040000}"/>
    <cellStyle name="Separador de milhares 2 17" xfId="389" xr:uid="{00000000-0005-0000-0000-00009A040000}"/>
    <cellStyle name="Separador de milhares 2 18" xfId="675" xr:uid="{00000000-0005-0000-0000-00009B040000}"/>
    <cellStyle name="Separador de milhares 2 19" xfId="585" xr:uid="{00000000-0005-0000-0000-00009C040000}"/>
    <cellStyle name="Separador de milhares 2 2" xfId="390" xr:uid="{00000000-0005-0000-0000-00009D040000}"/>
    <cellStyle name="Separador de milhares 2 2 10" xfId="1429" xr:uid="{00000000-0005-0000-0000-00009E040000}"/>
    <cellStyle name="Separador de milhares 2 2 10 2" xfId="1430" xr:uid="{00000000-0005-0000-0000-00009F040000}"/>
    <cellStyle name="Separador de milhares 2 2 11" xfId="1431" xr:uid="{00000000-0005-0000-0000-0000A0040000}"/>
    <cellStyle name="Separador de milhares 2 2 11 2" xfId="1432" xr:uid="{00000000-0005-0000-0000-0000A1040000}"/>
    <cellStyle name="Separador de milhares 2 2 12" xfId="1433" xr:uid="{00000000-0005-0000-0000-0000A2040000}"/>
    <cellStyle name="Separador de milhares 2 2 12 2" xfId="1434" xr:uid="{00000000-0005-0000-0000-0000A3040000}"/>
    <cellStyle name="Separador de milhares 2 2 13" xfId="1435" xr:uid="{00000000-0005-0000-0000-0000A4040000}"/>
    <cellStyle name="Separador de milhares 2 2 13 2" xfId="1436" xr:uid="{00000000-0005-0000-0000-0000A5040000}"/>
    <cellStyle name="Separador de milhares 2 2 14" xfId="1437" xr:uid="{00000000-0005-0000-0000-0000A6040000}"/>
    <cellStyle name="Separador de milhares 2 2 14 2" xfId="1438" xr:uid="{00000000-0005-0000-0000-0000A7040000}"/>
    <cellStyle name="Separador de milhares 2 2 2" xfId="391" xr:uid="{00000000-0005-0000-0000-0000A8040000}"/>
    <cellStyle name="Separador de milhares 2 2 2 2" xfId="1439" xr:uid="{00000000-0005-0000-0000-0000A9040000}"/>
    <cellStyle name="Separador de milhares 2 2 2 3" xfId="1440" xr:uid="{00000000-0005-0000-0000-0000AA040000}"/>
    <cellStyle name="Separador de milhares 2 2 2 4" xfId="1441" xr:uid="{00000000-0005-0000-0000-0000AB040000}"/>
    <cellStyle name="Separador de milhares 2 2 2 5" xfId="1442" xr:uid="{00000000-0005-0000-0000-0000AC040000}"/>
    <cellStyle name="Separador de milhares 2 2 2 6" xfId="1443" xr:uid="{00000000-0005-0000-0000-0000AD040000}"/>
    <cellStyle name="Separador de milhares 2 2 2 7" xfId="1444" xr:uid="{00000000-0005-0000-0000-0000AE040000}"/>
    <cellStyle name="Separador de milhares 2 2 2 8" xfId="1445" xr:uid="{00000000-0005-0000-0000-0000AF040000}"/>
    <cellStyle name="Separador de milhares 2 2 2 9" xfId="1446" xr:uid="{00000000-0005-0000-0000-0000B0040000}"/>
    <cellStyle name="Separador de milhares 2 2 3" xfId="392" xr:uid="{00000000-0005-0000-0000-0000B1040000}"/>
    <cellStyle name="Separador de milhares 2 2 4" xfId="393" xr:uid="{00000000-0005-0000-0000-0000B2040000}"/>
    <cellStyle name="Separador de milhares 2 2 5" xfId="394" xr:uid="{00000000-0005-0000-0000-0000B3040000}"/>
    <cellStyle name="Separador de milhares 2 2 5 2" xfId="676" xr:uid="{00000000-0005-0000-0000-0000B4040000}"/>
    <cellStyle name="Separador de milhares 2 2 5 3" xfId="593" xr:uid="{00000000-0005-0000-0000-0000B5040000}"/>
    <cellStyle name="Separador de milhares 2 2 6" xfId="1447" xr:uid="{00000000-0005-0000-0000-0000B6040000}"/>
    <cellStyle name="Separador de milhares 2 2 7" xfId="1448" xr:uid="{00000000-0005-0000-0000-0000B7040000}"/>
    <cellStyle name="Separador de milhares 2 2 8" xfId="1449" xr:uid="{00000000-0005-0000-0000-0000B8040000}"/>
    <cellStyle name="Separador de milhares 2 2 9" xfId="1450" xr:uid="{00000000-0005-0000-0000-0000B9040000}"/>
    <cellStyle name="Separador de milhares 2 2 9 2" xfId="1451" xr:uid="{00000000-0005-0000-0000-0000BA040000}"/>
    <cellStyle name="Separador de milhares 2 2_lançamento CD" xfId="395" xr:uid="{00000000-0005-0000-0000-0000BB040000}"/>
    <cellStyle name="Separador de milhares 2 3" xfId="396" xr:uid="{00000000-0005-0000-0000-0000BC040000}"/>
    <cellStyle name="Separador de milhares 2 3 2" xfId="1452" xr:uid="{00000000-0005-0000-0000-0000BD040000}"/>
    <cellStyle name="Separador de milhares 2 4" xfId="397" xr:uid="{00000000-0005-0000-0000-0000BE040000}"/>
    <cellStyle name="Separador de milhares 2 4 2" xfId="1453" xr:uid="{00000000-0005-0000-0000-0000BF040000}"/>
    <cellStyle name="Separador de milhares 2 4 2 2" xfId="1454" xr:uid="{00000000-0005-0000-0000-0000C0040000}"/>
    <cellStyle name="Separador de milhares 2 5" xfId="398" xr:uid="{00000000-0005-0000-0000-0000C1040000}"/>
    <cellStyle name="Separador de milhares 2 5 2" xfId="399" xr:uid="{00000000-0005-0000-0000-0000C2040000}"/>
    <cellStyle name="Separador de milhares 2 5 2 2" xfId="400" xr:uid="{00000000-0005-0000-0000-0000C3040000}"/>
    <cellStyle name="Separador de milhares 2 5 2 3" xfId="401" xr:uid="{00000000-0005-0000-0000-0000C4040000}"/>
    <cellStyle name="Separador de milhares 2 5 2 3 2" xfId="402" xr:uid="{00000000-0005-0000-0000-0000C5040000}"/>
    <cellStyle name="Separador de milhares 2 5 3" xfId="403" xr:uid="{00000000-0005-0000-0000-0000C6040000}"/>
    <cellStyle name="Separador de milhares 2 6" xfId="404" xr:uid="{00000000-0005-0000-0000-0000C7040000}"/>
    <cellStyle name="Separador de milhares 2 6 2" xfId="405" xr:uid="{00000000-0005-0000-0000-0000C8040000}"/>
    <cellStyle name="Separador de milhares 2 7" xfId="406" xr:uid="{00000000-0005-0000-0000-0000C9040000}"/>
    <cellStyle name="Separador de milhares 2 7 2" xfId="1455" xr:uid="{00000000-0005-0000-0000-0000CA040000}"/>
    <cellStyle name="Separador de milhares 2 8" xfId="407" xr:uid="{00000000-0005-0000-0000-0000CB040000}"/>
    <cellStyle name="Separador de milhares 2 8 2" xfId="1456" xr:uid="{00000000-0005-0000-0000-0000CC040000}"/>
    <cellStyle name="Separador de milhares 2 9" xfId="408" xr:uid="{00000000-0005-0000-0000-0000CD040000}"/>
    <cellStyle name="Separador de milhares 2_39.JUL.07.UT 15.0012" xfId="409" xr:uid="{00000000-0005-0000-0000-0000CE040000}"/>
    <cellStyle name="Separador de milhares 24" xfId="1457" xr:uid="{00000000-0005-0000-0000-0000CF040000}"/>
    <cellStyle name="Separador de milhares 24 2" xfId="1458" xr:uid="{00000000-0005-0000-0000-0000D0040000}"/>
    <cellStyle name="Separador de milhares 24 3" xfId="1459" xr:uid="{00000000-0005-0000-0000-0000D1040000}"/>
    <cellStyle name="Separador de milhares 3" xfId="4" xr:uid="{00000000-0005-0000-0000-0000D2040000}"/>
    <cellStyle name="Separador de milhares 3 10" xfId="642" xr:uid="{00000000-0005-0000-0000-0000D3040000}"/>
    <cellStyle name="Separador de milhares 3 11" xfId="495" xr:uid="{00000000-0005-0000-0000-0000D4040000}"/>
    <cellStyle name="Separador de milhares 3 12" xfId="1526" xr:uid="{00000000-0005-0000-0000-0000D5040000}"/>
    <cellStyle name="Separador de milhares 3 2" xfId="410" xr:uid="{00000000-0005-0000-0000-0000D6040000}"/>
    <cellStyle name="Separador de milhares 3 2 2" xfId="677" xr:uid="{00000000-0005-0000-0000-0000D7040000}"/>
    <cellStyle name="Separador de milhares 3 2 3" xfId="599" xr:uid="{00000000-0005-0000-0000-0000D8040000}"/>
    <cellStyle name="Separador de milhares 3 3" xfId="411" xr:uid="{00000000-0005-0000-0000-0000D9040000}"/>
    <cellStyle name="Separador de milhares 3 4" xfId="412" xr:uid="{00000000-0005-0000-0000-0000DA040000}"/>
    <cellStyle name="Separador de milhares 3 5" xfId="413" xr:uid="{00000000-0005-0000-0000-0000DB040000}"/>
    <cellStyle name="Separador de milhares 3 6" xfId="414" xr:uid="{00000000-0005-0000-0000-0000DC040000}"/>
    <cellStyle name="Separador de milhares 3 7" xfId="415" xr:uid="{00000000-0005-0000-0000-0000DD040000}"/>
    <cellStyle name="Separador de milhares 3 8" xfId="416" xr:uid="{00000000-0005-0000-0000-0000DE040000}"/>
    <cellStyle name="Separador de milhares 3 9" xfId="417" xr:uid="{00000000-0005-0000-0000-0000DF040000}"/>
    <cellStyle name="Separador de milhares 4" xfId="418" xr:uid="{00000000-0005-0000-0000-0000E0040000}"/>
    <cellStyle name="Separador de milhares 4 2" xfId="419" xr:uid="{00000000-0005-0000-0000-0000E1040000}"/>
    <cellStyle name="Separador de milhares 4 3" xfId="420" xr:uid="{00000000-0005-0000-0000-0000E2040000}"/>
    <cellStyle name="Separador de milhares 4 3 2" xfId="421" xr:uid="{00000000-0005-0000-0000-0000E3040000}"/>
    <cellStyle name="Separador de milhares 4 4" xfId="422" xr:uid="{00000000-0005-0000-0000-0000E4040000}"/>
    <cellStyle name="Separador de milhares 4 5" xfId="423" xr:uid="{00000000-0005-0000-0000-0000E5040000}"/>
    <cellStyle name="Separador de milhares 5" xfId="424" xr:uid="{00000000-0005-0000-0000-0000E6040000}"/>
    <cellStyle name="Separador de milhares 5 2" xfId="425" xr:uid="{00000000-0005-0000-0000-0000E7040000}"/>
    <cellStyle name="Separador de milhares 5 3" xfId="426" xr:uid="{00000000-0005-0000-0000-0000E8040000}"/>
    <cellStyle name="Separador de milhares 5 4" xfId="678" xr:uid="{00000000-0005-0000-0000-0000E9040000}"/>
    <cellStyle name="Separador de milhares 5 5" xfId="604" xr:uid="{00000000-0005-0000-0000-0000EA040000}"/>
    <cellStyle name="Separador de milhares 6" xfId="427" xr:uid="{00000000-0005-0000-0000-0000EB040000}"/>
    <cellStyle name="Separador de milhares 6 2" xfId="428" xr:uid="{00000000-0005-0000-0000-0000EC040000}"/>
    <cellStyle name="Separador de milhares 6 3" xfId="429" xr:uid="{00000000-0005-0000-0000-0000ED040000}"/>
    <cellStyle name="Separador de milhares 6 4" xfId="430" xr:uid="{00000000-0005-0000-0000-0000EE040000}"/>
    <cellStyle name="Separador de milhares 6 4 2" xfId="679" xr:uid="{00000000-0005-0000-0000-0000EF040000}"/>
    <cellStyle name="Separador de milhares 6 4 3" xfId="606" xr:uid="{00000000-0005-0000-0000-0000F0040000}"/>
    <cellStyle name="Separador de milhares 7" xfId="431" xr:uid="{00000000-0005-0000-0000-0000F1040000}"/>
    <cellStyle name="Separador de milhares 7 2" xfId="432" xr:uid="{00000000-0005-0000-0000-0000F2040000}"/>
    <cellStyle name="Separador de milhares 7 2 2" xfId="433" xr:uid="{00000000-0005-0000-0000-0000F3040000}"/>
    <cellStyle name="Separador de milhares 7 2 3" xfId="680" xr:uid="{00000000-0005-0000-0000-0000F4040000}"/>
    <cellStyle name="Separador de milhares 7 2 4" xfId="607" xr:uid="{00000000-0005-0000-0000-0000F5040000}"/>
    <cellStyle name="Separador de milhares 7 3" xfId="434" xr:uid="{00000000-0005-0000-0000-0000F6040000}"/>
    <cellStyle name="Separador de milhares 8" xfId="435" xr:uid="{00000000-0005-0000-0000-0000F7040000}"/>
    <cellStyle name="Separador de milhares 8 2" xfId="436" xr:uid="{00000000-0005-0000-0000-0000F8040000}"/>
    <cellStyle name="Separador de milhares 8 2 2" xfId="437" xr:uid="{00000000-0005-0000-0000-0000F9040000}"/>
    <cellStyle name="Separador de milhares 8 2 3" xfId="438" xr:uid="{00000000-0005-0000-0000-0000FA040000}"/>
    <cellStyle name="Separador de milhares 8 2 3 2" xfId="439" xr:uid="{00000000-0005-0000-0000-0000FB040000}"/>
    <cellStyle name="Separador de milhares 8 2 4" xfId="682" xr:uid="{00000000-0005-0000-0000-0000FC040000}"/>
    <cellStyle name="Separador de milhares 8 2 5" xfId="610" xr:uid="{00000000-0005-0000-0000-0000FD040000}"/>
    <cellStyle name="Separador de milhares 8 3" xfId="440" xr:uid="{00000000-0005-0000-0000-0000FE040000}"/>
    <cellStyle name="Separador de milhares 8 4" xfId="681" xr:uid="{00000000-0005-0000-0000-0000FF040000}"/>
    <cellStyle name="Separador de milhares 8 5" xfId="609" xr:uid="{00000000-0005-0000-0000-000000050000}"/>
    <cellStyle name="Separador de milhares 9" xfId="441" xr:uid="{00000000-0005-0000-0000-000001050000}"/>
    <cellStyle name="Separador de milhares 9 2" xfId="442" xr:uid="{00000000-0005-0000-0000-000002050000}"/>
    <cellStyle name="Separador de milhares 9 2 2" xfId="684" xr:uid="{00000000-0005-0000-0000-000003050000}"/>
    <cellStyle name="Separador de milhares 9 2 3" xfId="613" xr:uid="{00000000-0005-0000-0000-000004050000}"/>
    <cellStyle name="Separador de milhares 9 3" xfId="683" xr:uid="{00000000-0005-0000-0000-000005050000}"/>
    <cellStyle name="Separador de milhares 9 4" xfId="612" xr:uid="{00000000-0005-0000-0000-000006050000}"/>
    <cellStyle name="SSS" xfId="443" xr:uid="{00000000-0005-0000-0000-000007050000}"/>
    <cellStyle name="Standard_RP100_01 (metr.)" xfId="1460" xr:uid="{00000000-0005-0000-0000-000008050000}"/>
    <cellStyle name="subhead" xfId="444" xr:uid="{00000000-0005-0000-0000-000009050000}"/>
    <cellStyle name="SUB-TOT" xfId="445" xr:uid="{00000000-0005-0000-0000-00000A050000}"/>
    <cellStyle name="SUB-TOT 2" xfId="707" xr:uid="{00000000-0005-0000-0000-00000B050000}"/>
    <cellStyle name="SUB-TOT 3" xfId="568" xr:uid="{00000000-0005-0000-0000-00000C050000}"/>
    <cellStyle name="SUB-TOT 4" xfId="554" xr:uid="{00000000-0005-0000-0000-00000D050000}"/>
    <cellStyle name="SUB-TOT 5" xfId="615" xr:uid="{00000000-0005-0000-0000-00000E050000}"/>
    <cellStyle name="sub-total" xfId="446" xr:uid="{00000000-0005-0000-0000-00000F050000}"/>
    <cellStyle name="sub-total 2" xfId="823" xr:uid="{00000000-0005-0000-0000-000010050000}"/>
    <cellStyle name="SUMA PARCIAL" xfId="1461" xr:uid="{00000000-0005-0000-0000-000011050000}"/>
    <cellStyle name="Texto de Aviso" xfId="18" builtinId="11" customBuiltin="1"/>
    <cellStyle name="Texto de Aviso 2" xfId="447" xr:uid="{00000000-0005-0000-0000-000013050000}"/>
    <cellStyle name="Texto de Aviso 3" xfId="1462" xr:uid="{00000000-0005-0000-0000-000014050000}"/>
    <cellStyle name="Texto de Aviso 4" xfId="1463" xr:uid="{00000000-0005-0000-0000-000015050000}"/>
    <cellStyle name="Texto Explicativo" xfId="20" builtinId="53" customBuiltin="1"/>
    <cellStyle name="Texto Explicativo 2" xfId="448" xr:uid="{00000000-0005-0000-0000-000017050000}"/>
    <cellStyle name="Texto Explicativo 3" xfId="1464" xr:uid="{00000000-0005-0000-0000-000018050000}"/>
    <cellStyle name="Texto Explicativo 4" xfId="1465" xr:uid="{00000000-0005-0000-0000-000019050000}"/>
    <cellStyle name="Texto Explicativo 5" xfId="1520" xr:uid="{00000000-0005-0000-0000-00001A050000}"/>
    <cellStyle name="Title" xfId="449" xr:uid="{00000000-0005-0000-0000-00001B050000}"/>
    <cellStyle name="Título 1 1" xfId="450" xr:uid="{00000000-0005-0000-0000-00001C050000}"/>
    <cellStyle name="Título 1 1 1" xfId="451" xr:uid="{00000000-0005-0000-0000-00001D050000}"/>
    <cellStyle name="Título 1 1 1 1" xfId="452" xr:uid="{00000000-0005-0000-0000-00001E050000}"/>
    <cellStyle name="Título 1 1 1 1 1" xfId="453" xr:uid="{00000000-0005-0000-0000-00001F050000}"/>
    <cellStyle name="Título 1 2" xfId="454" xr:uid="{00000000-0005-0000-0000-000020050000}"/>
    <cellStyle name="Título 1 3" xfId="1466" xr:uid="{00000000-0005-0000-0000-000021050000}"/>
    <cellStyle name="Título 1 4" xfId="1467" xr:uid="{00000000-0005-0000-0000-000022050000}"/>
    <cellStyle name="Título 10" xfId="1468" xr:uid="{00000000-0005-0000-0000-000023050000}"/>
    <cellStyle name="Título 11" xfId="45" xr:uid="{00000000-0005-0000-0000-000024050000}"/>
    <cellStyle name="Titulo 2" xfId="1469" xr:uid="{00000000-0005-0000-0000-000025050000}"/>
    <cellStyle name="Título 2 2" xfId="455" xr:uid="{00000000-0005-0000-0000-000026050000}"/>
    <cellStyle name="Título 2 3" xfId="1470" xr:uid="{00000000-0005-0000-0000-000027050000}"/>
    <cellStyle name="Título 2 4" xfId="1471" xr:uid="{00000000-0005-0000-0000-000028050000}"/>
    <cellStyle name="Título 3" xfId="9" builtinId="18" customBuiltin="1"/>
    <cellStyle name="Título 3 2" xfId="456" xr:uid="{00000000-0005-0000-0000-00002A050000}"/>
    <cellStyle name="Título 3 2 2" xfId="685" xr:uid="{00000000-0005-0000-0000-00002B050000}"/>
    <cellStyle name="Título 3 2 2 2" xfId="737" xr:uid="{00000000-0005-0000-0000-00002C050000}"/>
    <cellStyle name="Título 3 2 2 2 2" xfId="943" xr:uid="{00000000-0005-0000-0000-00002D050000}"/>
    <cellStyle name="Título 3 2 2 3" xfId="745" xr:uid="{00000000-0005-0000-0000-00002E050000}"/>
    <cellStyle name="Título 3 2 2 3 2" xfId="949" xr:uid="{00000000-0005-0000-0000-00002F050000}"/>
    <cellStyle name="Título 3 2 2 4" xfId="760" xr:uid="{00000000-0005-0000-0000-000030050000}"/>
    <cellStyle name="Título 3 2 2 4 2" xfId="957" xr:uid="{00000000-0005-0000-0000-000031050000}"/>
    <cellStyle name="Título 3 2 2 5" xfId="775" xr:uid="{00000000-0005-0000-0000-000032050000}"/>
    <cellStyle name="Título 3 2 2 5 2" xfId="964" xr:uid="{00000000-0005-0000-0000-000033050000}"/>
    <cellStyle name="Título 3 2 2 6" xfId="789" xr:uid="{00000000-0005-0000-0000-000034050000}"/>
    <cellStyle name="Título 3 2 2 6 2" xfId="971" xr:uid="{00000000-0005-0000-0000-000035050000}"/>
    <cellStyle name="Título 3 2 2 7" xfId="802" xr:uid="{00000000-0005-0000-0000-000036050000}"/>
    <cellStyle name="Título 3 2 2 7 2" xfId="977" xr:uid="{00000000-0005-0000-0000-000037050000}"/>
    <cellStyle name="Título 3 2 3" xfId="616" xr:uid="{00000000-0005-0000-0000-000038050000}"/>
    <cellStyle name="Título 3 2 3 2" xfId="897" xr:uid="{00000000-0005-0000-0000-000039050000}"/>
    <cellStyle name="Título 3 2 4" xfId="709" xr:uid="{00000000-0005-0000-0000-00003A050000}"/>
    <cellStyle name="Título 3 2 4 2" xfId="920" xr:uid="{00000000-0005-0000-0000-00003B050000}"/>
    <cellStyle name="Título 3 2 5" xfId="715" xr:uid="{00000000-0005-0000-0000-00003C050000}"/>
    <cellStyle name="Título 3 2 5 2" xfId="925" xr:uid="{00000000-0005-0000-0000-00003D050000}"/>
    <cellStyle name="Título 3 2 6" xfId="628" xr:uid="{00000000-0005-0000-0000-00003E050000}"/>
    <cellStyle name="Título 3 2 6 2" xfId="901" xr:uid="{00000000-0005-0000-0000-00003F050000}"/>
    <cellStyle name="Título 3 2 7" xfId="504" xr:uid="{00000000-0005-0000-0000-000040050000}"/>
    <cellStyle name="Título 3 2 7 2" xfId="837" xr:uid="{00000000-0005-0000-0000-000041050000}"/>
    <cellStyle name="Título 3 2 8" xfId="824" xr:uid="{00000000-0005-0000-0000-000042050000}"/>
    <cellStyle name="Título 3 3" xfId="1472" xr:uid="{00000000-0005-0000-0000-000043050000}"/>
    <cellStyle name="Título 3 4" xfId="1473" xr:uid="{00000000-0005-0000-0000-000044050000}"/>
    <cellStyle name="Título 4" xfId="10" builtinId="19" customBuiltin="1"/>
    <cellStyle name="Título 4 2" xfId="457" xr:uid="{00000000-0005-0000-0000-000046050000}"/>
    <cellStyle name="Título 4 3" xfId="1474" xr:uid="{00000000-0005-0000-0000-000047050000}"/>
    <cellStyle name="Título 4 4" xfId="1475" xr:uid="{00000000-0005-0000-0000-000048050000}"/>
    <cellStyle name="Título 5" xfId="458" xr:uid="{00000000-0005-0000-0000-000049050000}"/>
    <cellStyle name="Título 6" xfId="1476" xr:uid="{00000000-0005-0000-0000-00004A050000}"/>
    <cellStyle name="Título 7" xfId="1477" xr:uid="{00000000-0005-0000-0000-00004B050000}"/>
    <cellStyle name="Título 8" xfId="1478" xr:uid="{00000000-0005-0000-0000-00004C050000}"/>
    <cellStyle name="Título 9" xfId="1479" xr:uid="{00000000-0005-0000-0000-00004D050000}"/>
    <cellStyle name="Titulo1" xfId="459" xr:uid="{00000000-0005-0000-0000-00004E050000}"/>
    <cellStyle name="Titulo2" xfId="460" xr:uid="{00000000-0005-0000-0000-00004F050000}"/>
    <cellStyle name="Total" xfId="21" builtinId="25" customBuiltin="1"/>
    <cellStyle name="Total 10" xfId="1480" xr:uid="{00000000-0005-0000-0000-000051050000}"/>
    <cellStyle name="Total 11" xfId="1481" xr:uid="{00000000-0005-0000-0000-000052050000}"/>
    <cellStyle name="Total 12" xfId="1482" xr:uid="{00000000-0005-0000-0000-000053050000}"/>
    <cellStyle name="TOTAL 13" xfId="1483" xr:uid="{00000000-0005-0000-0000-000054050000}"/>
    <cellStyle name="TOTAL 14" xfId="1484" xr:uid="{00000000-0005-0000-0000-000055050000}"/>
    <cellStyle name="Total 2" xfId="461" xr:uid="{00000000-0005-0000-0000-000056050000}"/>
    <cellStyle name="Total 2 10" xfId="825" xr:uid="{00000000-0005-0000-0000-000057050000}"/>
    <cellStyle name="Total 2 2" xfId="686" xr:uid="{00000000-0005-0000-0000-000058050000}"/>
    <cellStyle name="Total 2 2 2" xfId="738" xr:uid="{00000000-0005-0000-0000-000059050000}"/>
    <cellStyle name="Total 2 2 2 2" xfId="944" xr:uid="{00000000-0005-0000-0000-00005A050000}"/>
    <cellStyle name="Total 2 2 3" xfId="746" xr:uid="{00000000-0005-0000-0000-00005B050000}"/>
    <cellStyle name="Total 2 2 3 2" xfId="950" xr:uid="{00000000-0005-0000-0000-00005C050000}"/>
    <cellStyle name="Total 2 2 4" xfId="761" xr:uid="{00000000-0005-0000-0000-00005D050000}"/>
    <cellStyle name="Total 2 2 4 2" xfId="958" xr:uid="{00000000-0005-0000-0000-00005E050000}"/>
    <cellStyle name="Total 2 2 5" xfId="776" xr:uid="{00000000-0005-0000-0000-00005F050000}"/>
    <cellStyle name="Total 2 2 5 2" xfId="965" xr:uid="{00000000-0005-0000-0000-000060050000}"/>
    <cellStyle name="Total 2 2 6" xfId="790" xr:uid="{00000000-0005-0000-0000-000061050000}"/>
    <cellStyle name="Total 2 2 6 2" xfId="972" xr:uid="{00000000-0005-0000-0000-000062050000}"/>
    <cellStyle name="Total 2 2 7" xfId="803" xr:uid="{00000000-0005-0000-0000-000063050000}"/>
    <cellStyle name="Total 2 2 7 2" xfId="978" xr:uid="{00000000-0005-0000-0000-000064050000}"/>
    <cellStyle name="Total 2 2 8" xfId="910" xr:uid="{00000000-0005-0000-0000-000065050000}"/>
    <cellStyle name="Total 2 3" xfId="618" xr:uid="{00000000-0005-0000-0000-000066050000}"/>
    <cellStyle name="Total 2 3 2" xfId="898" xr:uid="{00000000-0005-0000-0000-000067050000}"/>
    <cellStyle name="Total 2 4" xfId="712" xr:uid="{00000000-0005-0000-0000-000068050000}"/>
    <cellStyle name="Total 2 4 2" xfId="922" xr:uid="{00000000-0005-0000-0000-000069050000}"/>
    <cellStyle name="Total 2 5" xfId="614" xr:uid="{00000000-0005-0000-0000-00006A050000}"/>
    <cellStyle name="Total 2 5 2" xfId="896" xr:uid="{00000000-0005-0000-0000-00006B050000}"/>
    <cellStyle name="Total 2 6" xfId="478" xr:uid="{00000000-0005-0000-0000-00006C050000}"/>
    <cellStyle name="Total 2 6 2" xfId="829" xr:uid="{00000000-0005-0000-0000-00006D050000}"/>
    <cellStyle name="Total 2 7" xfId="601" xr:uid="{00000000-0005-0000-0000-00006E050000}"/>
    <cellStyle name="Total 2 7 2" xfId="892" xr:uid="{00000000-0005-0000-0000-00006F050000}"/>
    <cellStyle name="Total 2 8" xfId="562" xr:uid="{00000000-0005-0000-0000-000070050000}"/>
    <cellStyle name="Total 2 8 2" xfId="872" xr:uid="{00000000-0005-0000-0000-000071050000}"/>
    <cellStyle name="Total 2 9" xfId="773" xr:uid="{00000000-0005-0000-0000-000072050000}"/>
    <cellStyle name="Total 2 9 2" xfId="963" xr:uid="{00000000-0005-0000-0000-000073050000}"/>
    <cellStyle name="Total 3" xfId="462" xr:uid="{00000000-0005-0000-0000-000074050000}"/>
    <cellStyle name="Total 3 2" xfId="687" xr:uid="{00000000-0005-0000-0000-000075050000}"/>
    <cellStyle name="Total 3 2 2" xfId="747" xr:uid="{00000000-0005-0000-0000-000076050000}"/>
    <cellStyle name="Total 3 2 3" xfId="762" xr:uid="{00000000-0005-0000-0000-000077050000}"/>
    <cellStyle name="Total 3 2 4" xfId="777" xr:uid="{00000000-0005-0000-0000-000078050000}"/>
    <cellStyle name="Total 3 2 5" xfId="791" xr:uid="{00000000-0005-0000-0000-000079050000}"/>
    <cellStyle name="Total 3 2 6" xfId="804" xr:uid="{00000000-0005-0000-0000-00007A050000}"/>
    <cellStyle name="Total 3 3" xfId="619" xr:uid="{00000000-0005-0000-0000-00007B050000}"/>
    <cellStyle name="Total 3 4" xfId="571" xr:uid="{00000000-0005-0000-0000-00007C050000}"/>
    <cellStyle name="Total 3 5" xfId="611" xr:uid="{00000000-0005-0000-0000-00007D050000}"/>
    <cellStyle name="Total 3 6" xfId="565" xr:uid="{00000000-0005-0000-0000-00007E050000}"/>
    <cellStyle name="Total 3 7" xfId="710" xr:uid="{00000000-0005-0000-0000-00007F050000}"/>
    <cellStyle name="Total 3 8" xfId="744" xr:uid="{00000000-0005-0000-0000-000080050000}"/>
    <cellStyle name="Total 4" xfId="463" xr:uid="{00000000-0005-0000-0000-000081050000}"/>
    <cellStyle name="Total 4 2" xfId="688" xr:uid="{00000000-0005-0000-0000-000082050000}"/>
    <cellStyle name="Total 4 2 2" xfId="748" xr:uid="{00000000-0005-0000-0000-000083050000}"/>
    <cellStyle name="Total 4 2 3" xfId="763" xr:uid="{00000000-0005-0000-0000-000084050000}"/>
    <cellStyle name="Total 4 2 4" xfId="778" xr:uid="{00000000-0005-0000-0000-000085050000}"/>
    <cellStyle name="Total 4 2 5" xfId="792" xr:uid="{00000000-0005-0000-0000-000086050000}"/>
    <cellStyle name="Total 4 2 6" xfId="805" xr:uid="{00000000-0005-0000-0000-000087050000}"/>
    <cellStyle name="Total 4 3" xfId="620" xr:uid="{00000000-0005-0000-0000-000088050000}"/>
    <cellStyle name="Total 4 4" xfId="572" xr:uid="{00000000-0005-0000-0000-000089050000}"/>
    <cellStyle name="Total 4 5" xfId="694" xr:uid="{00000000-0005-0000-0000-00008A050000}"/>
    <cellStyle name="Total 4 6" xfId="577" xr:uid="{00000000-0005-0000-0000-00008B050000}"/>
    <cellStyle name="Total 4 7" xfId="471" xr:uid="{00000000-0005-0000-0000-00008C050000}"/>
    <cellStyle name="Total 4 8" xfId="570" xr:uid="{00000000-0005-0000-0000-00008D050000}"/>
    <cellStyle name="Total 5" xfId="464" xr:uid="{00000000-0005-0000-0000-00008E050000}"/>
    <cellStyle name="Total 5 2" xfId="689" xr:uid="{00000000-0005-0000-0000-00008F050000}"/>
    <cellStyle name="Total 5 2 2" xfId="749" xr:uid="{00000000-0005-0000-0000-000090050000}"/>
    <cellStyle name="Total 5 2 3" xfId="764" xr:uid="{00000000-0005-0000-0000-000091050000}"/>
    <cellStyle name="Total 5 2 4" xfId="779" xr:uid="{00000000-0005-0000-0000-000092050000}"/>
    <cellStyle name="Total 5 2 5" xfId="793" xr:uid="{00000000-0005-0000-0000-000093050000}"/>
    <cellStyle name="Total 5 2 6" xfId="806" xr:uid="{00000000-0005-0000-0000-000094050000}"/>
    <cellStyle name="Total 5 3" xfId="621" xr:uid="{00000000-0005-0000-0000-000095050000}"/>
    <cellStyle name="Total 5 4" xfId="494" xr:uid="{00000000-0005-0000-0000-000096050000}"/>
    <cellStyle name="Total 5 5" xfId="708" xr:uid="{00000000-0005-0000-0000-000097050000}"/>
    <cellStyle name="Total 5 6" xfId="602" xr:uid="{00000000-0005-0000-0000-000098050000}"/>
    <cellStyle name="Total 5 7" xfId="697" xr:uid="{00000000-0005-0000-0000-000099050000}"/>
    <cellStyle name="Total 5 8" xfId="774" xr:uid="{00000000-0005-0000-0000-00009A050000}"/>
    <cellStyle name="Total 6" xfId="465" xr:uid="{00000000-0005-0000-0000-00009B050000}"/>
    <cellStyle name="Total 6 2" xfId="690" xr:uid="{00000000-0005-0000-0000-00009C050000}"/>
    <cellStyle name="Total 6 2 2" xfId="750" xr:uid="{00000000-0005-0000-0000-00009D050000}"/>
    <cellStyle name="Total 6 2 3" xfId="765" xr:uid="{00000000-0005-0000-0000-00009E050000}"/>
    <cellStyle name="Total 6 2 4" xfId="780" xr:uid="{00000000-0005-0000-0000-00009F050000}"/>
    <cellStyle name="Total 6 2 5" xfId="794" xr:uid="{00000000-0005-0000-0000-0000A0050000}"/>
    <cellStyle name="Total 6 2 6" xfId="807" xr:uid="{00000000-0005-0000-0000-0000A1050000}"/>
    <cellStyle name="Total 6 3" xfId="622" xr:uid="{00000000-0005-0000-0000-0000A2050000}"/>
    <cellStyle name="Total 6 4" xfId="573" xr:uid="{00000000-0005-0000-0000-0000A3050000}"/>
    <cellStyle name="Total 6 5" xfId="716" xr:uid="{00000000-0005-0000-0000-0000A4050000}"/>
    <cellStyle name="Total 6 6" xfId="569" xr:uid="{00000000-0005-0000-0000-0000A5050000}"/>
    <cellStyle name="Total 6 7" xfId="508" xr:uid="{00000000-0005-0000-0000-0000A6050000}"/>
    <cellStyle name="Total 6 8" xfId="505" xr:uid="{00000000-0005-0000-0000-0000A7050000}"/>
    <cellStyle name="Total 7" xfId="466" xr:uid="{00000000-0005-0000-0000-0000A8050000}"/>
    <cellStyle name="Total 7 2" xfId="691" xr:uid="{00000000-0005-0000-0000-0000A9050000}"/>
    <cellStyle name="Total 7 2 2" xfId="751" xr:uid="{00000000-0005-0000-0000-0000AA050000}"/>
    <cellStyle name="Total 7 2 3" xfId="766" xr:uid="{00000000-0005-0000-0000-0000AB050000}"/>
    <cellStyle name="Total 7 2 4" xfId="781" xr:uid="{00000000-0005-0000-0000-0000AC050000}"/>
    <cellStyle name="Total 7 2 5" xfId="795" xr:uid="{00000000-0005-0000-0000-0000AD050000}"/>
    <cellStyle name="Total 7 2 6" xfId="808" xr:uid="{00000000-0005-0000-0000-0000AE050000}"/>
    <cellStyle name="Total 7 3" xfId="623" xr:uid="{00000000-0005-0000-0000-0000AF050000}"/>
    <cellStyle name="Total 7 4" xfId="574" xr:uid="{00000000-0005-0000-0000-0000B0050000}"/>
    <cellStyle name="Total 7 5" xfId="596" xr:uid="{00000000-0005-0000-0000-0000B1050000}"/>
    <cellStyle name="Total 7 6" xfId="696" xr:uid="{00000000-0005-0000-0000-0000B2050000}"/>
    <cellStyle name="Total 7 7" xfId="498" xr:uid="{00000000-0005-0000-0000-0000B3050000}"/>
    <cellStyle name="Total 7 8" xfId="537" xr:uid="{00000000-0005-0000-0000-0000B4050000}"/>
    <cellStyle name="Total 8" xfId="467" xr:uid="{00000000-0005-0000-0000-0000B5050000}"/>
    <cellStyle name="Total 8 2" xfId="692" xr:uid="{00000000-0005-0000-0000-0000B6050000}"/>
    <cellStyle name="Total 8 2 2" xfId="752" xr:uid="{00000000-0005-0000-0000-0000B7050000}"/>
    <cellStyle name="Total 8 2 3" xfId="767" xr:uid="{00000000-0005-0000-0000-0000B8050000}"/>
    <cellStyle name="Total 8 2 4" xfId="782" xr:uid="{00000000-0005-0000-0000-0000B9050000}"/>
    <cellStyle name="Total 8 2 5" xfId="796" xr:uid="{00000000-0005-0000-0000-0000BA050000}"/>
    <cellStyle name="Total 8 2 6" xfId="809" xr:uid="{00000000-0005-0000-0000-0000BB050000}"/>
    <cellStyle name="Total 8 3" xfId="624" xr:uid="{00000000-0005-0000-0000-0000BC050000}"/>
    <cellStyle name="Total 8 4" xfId="575" xr:uid="{00000000-0005-0000-0000-0000BD050000}"/>
    <cellStyle name="Total 8 5" xfId="617" xr:uid="{00000000-0005-0000-0000-0000BE050000}"/>
    <cellStyle name="Total 8 6" xfId="555" xr:uid="{00000000-0005-0000-0000-0000BF050000}"/>
    <cellStyle name="Total 8 7" xfId="472" xr:uid="{00000000-0005-0000-0000-0000C0050000}"/>
    <cellStyle name="Total 8 8" xfId="477" xr:uid="{00000000-0005-0000-0000-0000C1050000}"/>
    <cellStyle name="Total 9" xfId="468" xr:uid="{00000000-0005-0000-0000-0000C2050000}"/>
    <cellStyle name="Total 9 2" xfId="693" xr:uid="{00000000-0005-0000-0000-0000C3050000}"/>
    <cellStyle name="Total 9 2 2" xfId="753" xr:uid="{00000000-0005-0000-0000-0000C4050000}"/>
    <cellStyle name="Total 9 2 3" xfId="768" xr:uid="{00000000-0005-0000-0000-0000C5050000}"/>
    <cellStyle name="Total 9 2 4" xfId="783" xr:uid="{00000000-0005-0000-0000-0000C6050000}"/>
    <cellStyle name="Total 9 2 5" xfId="797" xr:uid="{00000000-0005-0000-0000-0000C7050000}"/>
    <cellStyle name="Total 9 2 6" xfId="810" xr:uid="{00000000-0005-0000-0000-0000C8050000}"/>
    <cellStyle name="Total 9 3" xfId="625" xr:uid="{00000000-0005-0000-0000-0000C9050000}"/>
    <cellStyle name="Total 9 4" xfId="719" xr:uid="{00000000-0005-0000-0000-0000CA050000}"/>
    <cellStyle name="Total 9 5" xfId="576" xr:uid="{00000000-0005-0000-0000-0000CB050000}"/>
    <cellStyle name="Total 9 6" xfId="720" xr:uid="{00000000-0005-0000-0000-0000CC050000}"/>
    <cellStyle name="Total 9 7" xfId="485" xr:uid="{00000000-0005-0000-0000-0000CD050000}"/>
    <cellStyle name="Total 9 8" xfId="706" xr:uid="{00000000-0005-0000-0000-0000CE050000}"/>
    <cellStyle name="V¡rgula" xfId="1485" xr:uid="{00000000-0005-0000-0000-0000CF050000}"/>
    <cellStyle name="V¡rgula0" xfId="1486" xr:uid="{00000000-0005-0000-0000-0000D0050000}"/>
    <cellStyle name="Vírgula 10" xfId="1487" xr:uid="{00000000-0005-0000-0000-0000D1050000}"/>
    <cellStyle name="Vírgula 10 2" xfId="1488" xr:uid="{00000000-0005-0000-0000-0000D2050000}"/>
    <cellStyle name="Vírgula 11" xfId="40" xr:uid="{00000000-0005-0000-0000-0000D3050000}"/>
    <cellStyle name="Vírgula 12" xfId="1517" xr:uid="{00000000-0005-0000-0000-0000D4050000}"/>
    <cellStyle name="Vírgula 13" xfId="1530" xr:uid="{871A7AE2-5D38-434C-B3F2-CD538CCB242E}"/>
    <cellStyle name="Vírgula 2" xfId="2" xr:uid="{00000000-0005-0000-0000-0000D5050000}"/>
    <cellStyle name="Vírgula 2 2" xfId="643" xr:uid="{00000000-0005-0000-0000-0000D6050000}"/>
    <cellStyle name="Vírgula 2 2 2" xfId="1489" xr:uid="{00000000-0005-0000-0000-0000D7050000}"/>
    <cellStyle name="Vírgula 2 2 3" xfId="1490" xr:uid="{00000000-0005-0000-0000-0000D8050000}"/>
    <cellStyle name="Vírgula 2 3" xfId="496" xr:uid="{00000000-0005-0000-0000-0000D9050000}"/>
    <cellStyle name="Vírgula 2 3 2" xfId="1491" xr:uid="{00000000-0005-0000-0000-0000DA050000}"/>
    <cellStyle name="Vírgula 2 3 3" xfId="1492" xr:uid="{00000000-0005-0000-0000-0000DB050000}"/>
    <cellStyle name="Vírgula 2 3 4" xfId="1493" xr:uid="{00000000-0005-0000-0000-0000DC050000}"/>
    <cellStyle name="Vírgula 2 4" xfId="1494" xr:uid="{00000000-0005-0000-0000-0000DD050000}"/>
    <cellStyle name="Vírgula 2 5" xfId="1495" xr:uid="{00000000-0005-0000-0000-0000DE050000}"/>
    <cellStyle name="Vírgula 2 6" xfId="70" xr:uid="{00000000-0005-0000-0000-0000DF050000}"/>
    <cellStyle name="Vírgula 2 7" xfId="1525" xr:uid="{00000000-0005-0000-0000-0000E0050000}"/>
    <cellStyle name="Vírgula 3" xfId="69" xr:uid="{00000000-0005-0000-0000-0000E1050000}"/>
    <cellStyle name="Vírgula 3 2" xfId="1496" xr:uid="{00000000-0005-0000-0000-0000E2050000}"/>
    <cellStyle name="Vírgula 3 2 2" xfId="1497" xr:uid="{00000000-0005-0000-0000-0000E3050000}"/>
    <cellStyle name="Vírgula 3 2 3" xfId="1498" xr:uid="{00000000-0005-0000-0000-0000E4050000}"/>
    <cellStyle name="Vírgula 3 3" xfId="1499" xr:uid="{00000000-0005-0000-0000-0000E5050000}"/>
    <cellStyle name="Vírgula 3 4" xfId="1500" xr:uid="{00000000-0005-0000-0000-0000E6050000}"/>
    <cellStyle name="Vírgula 4" xfId="42" xr:uid="{00000000-0005-0000-0000-0000E7050000}"/>
    <cellStyle name="Vírgula 4 2" xfId="1501" xr:uid="{00000000-0005-0000-0000-0000E8050000}"/>
    <cellStyle name="Vírgula 4 3" xfId="1502" xr:uid="{00000000-0005-0000-0000-0000E9050000}"/>
    <cellStyle name="Vírgula 4 4" xfId="1503" xr:uid="{00000000-0005-0000-0000-0000EA050000}"/>
    <cellStyle name="Vírgula 5" xfId="1504" xr:uid="{00000000-0005-0000-0000-0000EB050000}"/>
    <cellStyle name="Vírgula 5 2" xfId="1505" xr:uid="{00000000-0005-0000-0000-0000EC050000}"/>
    <cellStyle name="Vírgula 5 3" xfId="1506" xr:uid="{00000000-0005-0000-0000-0000ED050000}"/>
    <cellStyle name="Vírgula 6" xfId="1507" xr:uid="{00000000-0005-0000-0000-0000EE050000}"/>
    <cellStyle name="Vírgula 6 2" xfId="1508" xr:uid="{00000000-0005-0000-0000-0000EF050000}"/>
    <cellStyle name="Vírgula 6 3" xfId="1509" xr:uid="{00000000-0005-0000-0000-0000F0050000}"/>
    <cellStyle name="Vírgula 6 4" xfId="1510" xr:uid="{00000000-0005-0000-0000-0000F1050000}"/>
    <cellStyle name="Vírgula 7" xfId="1511" xr:uid="{00000000-0005-0000-0000-0000F2050000}"/>
    <cellStyle name="Vírgula 7 2" xfId="1512" xr:uid="{00000000-0005-0000-0000-0000F3050000}"/>
    <cellStyle name="Vírgula 8" xfId="1513" xr:uid="{00000000-0005-0000-0000-0000F4050000}"/>
    <cellStyle name="Vírgula 9" xfId="1514" xr:uid="{00000000-0005-0000-0000-0000F5050000}"/>
    <cellStyle name="Vírgula0" xfId="469" xr:uid="{00000000-0005-0000-0000-0000F6050000}"/>
    <cellStyle name="Vírgula0 2" xfId="1515" xr:uid="{00000000-0005-0000-0000-0000F7050000}"/>
    <cellStyle name="Warning Text" xfId="470" xr:uid="{00000000-0005-0000-0000-0000F805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jp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591739</xdr:colOff>
      <xdr:row>28</xdr:row>
      <xdr:rowOff>124534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9DDCAB-06E8-06B1-1046-BDDDDACBA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16539" cy="5077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76215</xdr:colOff>
      <xdr:row>29</xdr:row>
      <xdr:rowOff>44450</xdr:rowOff>
    </xdr:from>
    <xdr:to>
      <xdr:col>7</xdr:col>
      <xdr:colOff>520687</xdr:colOff>
      <xdr:row>41</xdr:row>
      <xdr:rowOff>102650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0365" y="6305550"/>
          <a:ext cx="5937222" cy="22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14</xdr:row>
      <xdr:rowOff>19050</xdr:rowOff>
    </xdr:from>
    <xdr:to>
      <xdr:col>7</xdr:col>
      <xdr:colOff>562304</xdr:colOff>
      <xdr:row>25</xdr:row>
      <xdr:rowOff>153400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281" r="4053" b="7046"/>
        <a:stretch/>
      </xdr:blipFill>
      <xdr:spPr>
        <a:xfrm>
          <a:off x="4006851" y="3124200"/>
          <a:ext cx="6042353" cy="21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447260</xdr:colOff>
      <xdr:row>0</xdr:row>
      <xdr:rowOff>107674</xdr:rowOff>
    </xdr:from>
    <xdr:to>
      <xdr:col>0</xdr:col>
      <xdr:colOff>1930766</xdr:colOff>
      <xdr:row>2</xdr:row>
      <xdr:rowOff>491896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1DDB3-7672-417F-A36A-09076C84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60" y="107674"/>
          <a:ext cx="1483506" cy="765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72824</xdr:colOff>
      <xdr:row>16</xdr:row>
      <xdr:rowOff>46334</xdr:rowOff>
    </xdr:from>
    <xdr:to>
      <xdr:col>6</xdr:col>
      <xdr:colOff>1002424</xdr:colOff>
      <xdr:row>29</xdr:row>
      <xdr:rowOff>108860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538736" y="2632222"/>
          <a:ext cx="2456476" cy="5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57166</xdr:colOff>
      <xdr:row>14</xdr:row>
      <xdr:rowOff>50800</xdr:rowOff>
    </xdr:from>
    <xdr:to>
      <xdr:col>6</xdr:col>
      <xdr:colOff>965936</xdr:colOff>
      <xdr:row>18</xdr:row>
      <xdr:rowOff>34200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1316" y="3536950"/>
          <a:ext cx="537917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63515</xdr:colOff>
      <xdr:row>18</xdr:row>
      <xdr:rowOff>127000</xdr:rowOff>
    </xdr:from>
    <xdr:to>
      <xdr:col>6</xdr:col>
      <xdr:colOff>824534</xdr:colOff>
      <xdr:row>22</xdr:row>
      <xdr:rowOff>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65" y="4349750"/>
          <a:ext cx="5231419" cy="61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57156</xdr:colOff>
      <xdr:row>22</xdr:row>
      <xdr:rowOff>88900</xdr:rowOff>
    </xdr:from>
    <xdr:to>
      <xdr:col>6</xdr:col>
      <xdr:colOff>972054</xdr:colOff>
      <xdr:row>28</xdr:row>
      <xdr:rowOff>136000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306" y="5048250"/>
          <a:ext cx="5385298" cy="11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6374</xdr:colOff>
      <xdr:row>32</xdr:row>
      <xdr:rowOff>31750</xdr:rowOff>
    </xdr:from>
    <xdr:to>
      <xdr:col>8</xdr:col>
      <xdr:colOff>544938</xdr:colOff>
      <xdr:row>41</xdr:row>
      <xdr:rowOff>174400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24" y="6832600"/>
          <a:ext cx="7053664" cy="18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985BB-829B-4487-B9C4-A57F3DBFCE52}" name="Tabela1" displayName="Tabela1" ref="A1:G108" totalsRowShown="0" headerRowDxfId="14">
  <autoFilter ref="A1:G108" xr:uid="{7C6985BB-829B-4487-B9C4-A57F3DBFCE52}"/>
  <tableColumns count="7">
    <tableColumn id="1" xr3:uid="{E36FFB85-93AD-4CA4-8EE3-C83046716BD5}" name="CENTRO DE CUSTO" dataDxfId="13"/>
    <tableColumn id="2" xr3:uid="{EE155F74-EE85-4003-8CC0-8828B59CB009}" name="OBRA" dataDxfId="12"/>
    <tableColumn id="3" xr3:uid="{AD1C0EB9-EDF1-41BA-95A2-6CEDDEFDA0B1}" name="REGIONAL" dataDxfId="11"/>
    <tableColumn id="4" xr3:uid="{137B4141-D6C0-4524-8DD9-15AF8A100DE0}" name="GESTÃO" dataDxfId="10"/>
    <tableColumn id="5" xr3:uid="{F0AA69CE-E4E5-410F-A288-94155D102C45}" name="PERÍODO" dataDxfId="9"/>
    <tableColumn id="6" xr3:uid="{52101215-2D16-4AC4-8DEC-9E4CB8AFD47E}" name="PREVISTO" dataDxfId="8" dataCellStyle="Moeda"/>
    <tableColumn id="7" xr3:uid="{6EE4A63E-937D-4C09-AC77-6010BC27DEC1}" name="FATURADO" dataDxfId="7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3B0A4-99E2-4F5D-97F9-07054408EF6C}" name="Tabela2" displayName="Tabela2" ref="A1:E19" totalsRowShown="0" headerRowDxfId="6" dataDxfId="5">
  <autoFilter ref="A1:E19" xr:uid="{0CA3B0A4-99E2-4F5D-97F9-07054408EF6C}"/>
  <tableColumns count="5">
    <tableColumn id="1" xr3:uid="{A9FB0DDE-86C9-4DE5-BCE7-7068B0F9A0E3}" name="CENTRO DE CUSTO" dataDxfId="4"/>
    <tableColumn id="2" xr3:uid="{18FEC781-0CBA-4485-B436-CF3DD1897334}" name="OBRA" dataDxfId="3"/>
    <tableColumn id="3" xr3:uid="{09ECD326-6BF0-4A53-9CFA-F8F67C3531B2}" name="REGIONAL" dataDxfId="2"/>
    <tableColumn id="4" xr3:uid="{6503D237-BDDA-4BA2-9FA5-FA79F37D0B10}" name="GESTÃO" dataDxfId="1"/>
    <tableColumn id="5" xr3:uid="{EB6CADE4-C65F-467F-A071-A7B89E6C3B07}" name="VALOR_CONTRAT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38"/>
  <sheetViews>
    <sheetView view="pageBreakPreview" zoomScale="85" zoomScaleNormal="85" zoomScaleSheetLayoutView="85" zoomScalePageLayoutView="55" workbookViewId="0">
      <pane xSplit="5" ySplit="5" topLeftCell="AP6" activePane="bottomRight" state="frozen"/>
      <selection pane="topRight" activeCell="H1" sqref="H1"/>
      <selection pane="bottomLeft" activeCell="A6" sqref="A6"/>
      <selection pane="bottomRight" activeCell="A10" sqref="A10:E10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25.44140625" style="1" hidden="1" customWidth="1"/>
    <col min="4" max="4" width="9.44140625" style="1" customWidth="1"/>
    <col min="5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21" width="18.6640625" style="51" customWidth="1"/>
    <col min="22" max="22" width="19.6640625" style="51" customWidth="1"/>
    <col min="23" max="23" width="20.88671875" style="51" customWidth="1"/>
    <col min="24" max="24" width="21.44140625" style="51" customWidth="1"/>
    <col min="25" max="25" width="20.6640625" style="51" customWidth="1"/>
    <col min="26" max="26" width="21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0.33203125" style="51" customWidth="1"/>
    <col min="33" max="33" width="22.33203125" style="51" customWidth="1"/>
    <col min="34" max="34" width="21.6640625" style="51" customWidth="1"/>
    <col min="35" max="37" width="18.6640625" style="51" customWidth="1"/>
    <col min="38" max="38" width="21" style="51" customWidth="1"/>
    <col min="39" max="41" width="18.6640625" style="51" customWidth="1"/>
    <col min="42" max="42" width="18.88671875" style="51" customWidth="1"/>
    <col min="43" max="43" width="20" style="51" customWidth="1"/>
    <col min="44" max="45" width="18.6640625" style="51" customWidth="1"/>
    <col min="46" max="46" width="20" style="51" customWidth="1"/>
    <col min="47" max="47" width="23.44140625" style="51" customWidth="1"/>
    <col min="48" max="49" width="18.6640625" style="51" customWidth="1"/>
    <col min="50" max="50" width="20.33203125" style="51" customWidth="1"/>
    <col min="51" max="51" width="20.88671875" style="51" customWidth="1"/>
    <col min="52" max="52" width="21" style="51" customWidth="1"/>
    <col min="53" max="53" width="18.6640625" style="51" customWidth="1"/>
    <col min="54" max="54" width="21.33203125" style="1" customWidth="1"/>
    <col min="55" max="55" width="19.44140625" style="51" customWidth="1"/>
    <col min="56" max="16384" width="9.109375" style="51"/>
  </cols>
  <sheetData>
    <row r="1" spans="1:54" ht="30" customHeight="1" thickBot="1">
      <c r="A1" s="152"/>
      <c r="B1" s="242" t="s">
        <v>270</v>
      </c>
      <c r="C1" s="158"/>
      <c r="D1" s="158"/>
      <c r="E1" s="158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3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</row>
    <row r="2" spans="1:54" ht="18.600000000000001">
      <c r="A2" s="152"/>
      <c r="B2" s="243">
        <f ca="1">TODAY()</f>
        <v>45848</v>
      </c>
      <c r="F2" s="159"/>
      <c r="G2" s="159"/>
      <c r="H2" s="159"/>
      <c r="I2" s="157"/>
      <c r="J2" s="159"/>
      <c r="K2" s="157"/>
      <c r="L2" s="157"/>
      <c r="M2" s="157"/>
      <c r="P2" s="151"/>
      <c r="Q2" s="151"/>
      <c r="R2" s="151"/>
      <c r="AC2" s="203"/>
      <c r="AD2" s="203"/>
    </row>
    <row r="3" spans="1:54" ht="18.600000000000001" thickBot="1">
      <c r="A3" s="152"/>
      <c r="F3" s="160"/>
      <c r="G3" s="160"/>
      <c r="H3" s="160"/>
      <c r="I3" s="174"/>
      <c r="J3" s="160"/>
      <c r="K3" s="157"/>
      <c r="L3" s="157"/>
      <c r="M3" s="157"/>
      <c r="P3" s="155"/>
      <c r="Q3" s="155"/>
      <c r="R3" s="155"/>
      <c r="AC3" s="203"/>
      <c r="AD3" s="203"/>
    </row>
    <row r="4" spans="1:54" ht="18.75" customHeight="1" thickBot="1">
      <c r="A4" s="309" t="s">
        <v>24</v>
      </c>
      <c r="B4" s="311" t="s">
        <v>234</v>
      </c>
      <c r="C4" s="315" t="s">
        <v>244</v>
      </c>
      <c r="D4" s="311" t="s">
        <v>235</v>
      </c>
      <c r="E4" s="313" t="s">
        <v>236</v>
      </c>
      <c r="F4" s="325" t="s">
        <v>251</v>
      </c>
      <c r="G4" s="324"/>
      <c r="H4" s="324"/>
      <c r="I4" s="326"/>
      <c r="J4" s="324" t="s">
        <v>250</v>
      </c>
      <c r="K4" s="324"/>
      <c r="L4" s="324"/>
      <c r="M4" s="324"/>
      <c r="N4" s="325" t="s">
        <v>252</v>
      </c>
      <c r="O4" s="324"/>
      <c r="P4" s="324"/>
      <c r="Q4" s="326"/>
      <c r="R4" s="325" t="s">
        <v>257</v>
      </c>
      <c r="S4" s="324"/>
      <c r="T4" s="324"/>
      <c r="U4" s="326"/>
      <c r="V4" s="324" t="s">
        <v>258</v>
      </c>
      <c r="W4" s="324"/>
      <c r="X4" s="324"/>
      <c r="Y4" s="324"/>
      <c r="Z4" s="325" t="s">
        <v>259</v>
      </c>
      <c r="AA4" s="324"/>
      <c r="AB4" s="324"/>
      <c r="AC4" s="326"/>
      <c r="AD4" s="325" t="s">
        <v>261</v>
      </c>
      <c r="AE4" s="324"/>
      <c r="AF4" s="324"/>
      <c r="AG4" s="326"/>
      <c r="AH4" s="325" t="s">
        <v>262</v>
      </c>
      <c r="AI4" s="324"/>
      <c r="AJ4" s="324"/>
      <c r="AK4" s="326"/>
      <c r="AL4" s="325" t="s">
        <v>237</v>
      </c>
      <c r="AM4" s="324"/>
      <c r="AN4" s="324"/>
      <c r="AO4" s="326"/>
      <c r="AP4" s="324" t="s">
        <v>238</v>
      </c>
      <c r="AQ4" s="324"/>
      <c r="AR4" s="324"/>
      <c r="AS4" s="326"/>
      <c r="AT4" s="325" t="s">
        <v>239</v>
      </c>
      <c r="AU4" s="324"/>
      <c r="AV4" s="324"/>
      <c r="AW4" s="326"/>
      <c r="AX4" s="325" t="s">
        <v>240</v>
      </c>
      <c r="AY4" s="324"/>
      <c r="AZ4" s="324"/>
      <c r="BA4" s="326"/>
      <c r="BB4" s="222" t="s">
        <v>268</v>
      </c>
    </row>
    <row r="5" spans="1:54" s="146" customFormat="1" ht="37.5" customHeight="1" thickBot="1">
      <c r="A5" s="310"/>
      <c r="B5" s="312"/>
      <c r="C5" s="316"/>
      <c r="D5" s="312"/>
      <c r="E5" s="314"/>
      <c r="F5" s="173" t="s">
        <v>247</v>
      </c>
      <c r="G5" s="173" t="s">
        <v>246</v>
      </c>
      <c r="H5" s="175" t="s">
        <v>245</v>
      </c>
      <c r="I5" s="175" t="s">
        <v>248</v>
      </c>
      <c r="J5" s="214" t="s">
        <v>247</v>
      </c>
      <c r="K5" s="173" t="s">
        <v>246</v>
      </c>
      <c r="L5" s="175" t="s">
        <v>245</v>
      </c>
      <c r="M5" s="207" t="s">
        <v>248</v>
      </c>
      <c r="N5" s="173" t="s">
        <v>247</v>
      </c>
      <c r="O5" s="173" t="s">
        <v>246</v>
      </c>
      <c r="P5" s="175" t="s">
        <v>245</v>
      </c>
      <c r="Q5" s="175" t="s">
        <v>248</v>
      </c>
      <c r="R5" s="150" t="s">
        <v>241</v>
      </c>
      <c r="S5" s="150" t="s">
        <v>242</v>
      </c>
      <c r="T5" s="175" t="s">
        <v>245</v>
      </c>
      <c r="U5" s="175" t="s">
        <v>248</v>
      </c>
      <c r="V5" s="166" t="s">
        <v>241</v>
      </c>
      <c r="W5" s="150" t="s">
        <v>242</v>
      </c>
      <c r="X5" s="175" t="s">
        <v>245</v>
      </c>
      <c r="Y5" s="207" t="s">
        <v>248</v>
      </c>
      <c r="Z5" s="150" t="s">
        <v>241</v>
      </c>
      <c r="AA5" s="150" t="s">
        <v>242</v>
      </c>
      <c r="AB5" s="175" t="s">
        <v>245</v>
      </c>
      <c r="AC5" s="175" t="s">
        <v>248</v>
      </c>
      <c r="AD5" s="149" t="s">
        <v>241</v>
      </c>
      <c r="AE5" s="156" t="s">
        <v>242</v>
      </c>
      <c r="AF5" s="175" t="s">
        <v>245</v>
      </c>
      <c r="AG5" s="175" t="s">
        <v>248</v>
      </c>
      <c r="AH5" s="149" t="s">
        <v>241</v>
      </c>
      <c r="AI5" s="156" t="s">
        <v>242</v>
      </c>
      <c r="AJ5" s="175" t="s">
        <v>245</v>
      </c>
      <c r="AK5" s="175" t="s">
        <v>248</v>
      </c>
      <c r="AL5" s="149" t="s">
        <v>241</v>
      </c>
      <c r="AM5" s="156" t="s">
        <v>242</v>
      </c>
      <c r="AN5" s="175" t="s">
        <v>245</v>
      </c>
      <c r="AO5" s="175" t="s">
        <v>248</v>
      </c>
      <c r="AP5" s="156" t="s">
        <v>241</v>
      </c>
      <c r="AQ5" s="156" t="s">
        <v>242</v>
      </c>
      <c r="AR5" s="175" t="s">
        <v>245</v>
      </c>
      <c r="AS5" s="175" t="s">
        <v>248</v>
      </c>
      <c r="AT5" s="149" t="s">
        <v>241</v>
      </c>
      <c r="AU5" s="156" t="s">
        <v>242</v>
      </c>
      <c r="AV5" s="175" t="s">
        <v>245</v>
      </c>
      <c r="AW5" s="175" t="s">
        <v>248</v>
      </c>
      <c r="AX5" s="149" t="s">
        <v>241</v>
      </c>
      <c r="AY5" s="156" t="s">
        <v>242</v>
      </c>
      <c r="AZ5" s="175" t="s">
        <v>245</v>
      </c>
      <c r="BA5" s="175" t="s">
        <v>248</v>
      </c>
      <c r="BB5" s="145" t="s">
        <v>243</v>
      </c>
    </row>
    <row r="6" spans="1:54" s="147" customFormat="1" ht="23.4" customHeight="1">
      <c r="A6" s="167">
        <v>100</v>
      </c>
      <c r="B6" s="235" t="s">
        <v>211</v>
      </c>
      <c r="C6" s="223"/>
      <c r="D6" s="237" t="s">
        <v>213</v>
      </c>
      <c r="E6" s="225" t="s">
        <v>201</v>
      </c>
      <c r="F6" s="244">
        <v>150000</v>
      </c>
      <c r="G6" s="163">
        <v>550020.31000000006</v>
      </c>
      <c r="H6" s="176">
        <v>484223.91192999994</v>
      </c>
      <c r="I6" s="215">
        <v>0</v>
      </c>
      <c r="J6" s="244">
        <f>750000/2</f>
        <v>375000</v>
      </c>
      <c r="K6" s="163">
        <v>480883.99000000005</v>
      </c>
      <c r="L6" s="184">
        <v>424286.89</v>
      </c>
      <c r="M6" s="218">
        <v>0</v>
      </c>
      <c r="N6" s="208">
        <v>175000</v>
      </c>
      <c r="O6" s="163">
        <v>238188.37</v>
      </c>
      <c r="P6" s="184">
        <v>210061.27510999999</v>
      </c>
      <c r="Q6" s="219">
        <v>0</v>
      </c>
      <c r="R6" s="209">
        <f>230000/2</f>
        <v>115000</v>
      </c>
      <c r="S6" s="164">
        <v>238188.37</v>
      </c>
      <c r="T6" s="181">
        <v>210061.27510999999</v>
      </c>
      <c r="U6" s="206">
        <v>0</v>
      </c>
      <c r="V6" s="208">
        <v>200000</v>
      </c>
      <c r="W6" s="163">
        <v>354455.87</v>
      </c>
      <c r="X6" s="184">
        <v>307490.46722500003</v>
      </c>
      <c r="Y6" s="219">
        <v>0</v>
      </c>
      <c r="Z6" s="208">
        <f>138000/2</f>
        <v>69000</v>
      </c>
      <c r="AA6" s="163">
        <v>66846.62</v>
      </c>
      <c r="AB6" s="184">
        <v>59010.72505999999</v>
      </c>
      <c r="AC6" s="219">
        <v>0</v>
      </c>
      <c r="AD6" s="304" t="s">
        <v>233</v>
      </c>
      <c r="AE6" s="305"/>
      <c r="AF6" s="305" t="s">
        <v>233</v>
      </c>
      <c r="AG6" s="306"/>
      <c r="AH6" s="304" t="s">
        <v>233</v>
      </c>
      <c r="AI6" s="305"/>
      <c r="AJ6" s="305" t="s">
        <v>233</v>
      </c>
      <c r="AK6" s="306"/>
      <c r="AL6" s="304" t="s">
        <v>233</v>
      </c>
      <c r="AM6" s="305"/>
      <c r="AN6" s="305" t="s">
        <v>233</v>
      </c>
      <c r="AO6" s="306"/>
      <c r="AP6" s="304" t="s">
        <v>233</v>
      </c>
      <c r="AQ6" s="305"/>
      <c r="AR6" s="305" t="s">
        <v>233</v>
      </c>
      <c r="AS6" s="306"/>
      <c r="AT6" s="304" t="s">
        <v>233</v>
      </c>
      <c r="AU6" s="305"/>
      <c r="AV6" s="305" t="s">
        <v>233</v>
      </c>
      <c r="AW6" s="306"/>
      <c r="AX6" s="304" t="s">
        <v>233</v>
      </c>
      <c r="AY6" s="305"/>
      <c r="AZ6" s="305" t="s">
        <v>233</v>
      </c>
      <c r="BA6" s="306"/>
      <c r="BB6" s="266">
        <f>AY6+AU6+AQ6+AM6+AI6+AE6+AA6+W6+S6+O6+K6+G6</f>
        <v>1928583.53</v>
      </c>
    </row>
    <row r="7" spans="1:54" s="147" customFormat="1" ht="23.4" customHeight="1">
      <c r="A7" s="168">
        <v>100</v>
      </c>
      <c r="B7" s="236" t="s">
        <v>212</v>
      </c>
      <c r="C7" s="224"/>
      <c r="D7" s="238" t="s">
        <v>213</v>
      </c>
      <c r="E7" s="226" t="s">
        <v>201</v>
      </c>
      <c r="F7" s="220">
        <v>100000</v>
      </c>
      <c r="G7" s="164">
        <v>107925.48</v>
      </c>
      <c r="H7" s="177">
        <v>95294.250739999989</v>
      </c>
      <c r="I7" s="216">
        <v>0</v>
      </c>
      <c r="J7" s="220">
        <v>500000</v>
      </c>
      <c r="K7" s="164">
        <v>585057.76</v>
      </c>
      <c r="L7" s="181">
        <v>516606.00208000001</v>
      </c>
      <c r="M7" s="206">
        <v>0</v>
      </c>
      <c r="N7" s="209">
        <f>650000/2</f>
        <v>325000</v>
      </c>
      <c r="O7" s="164">
        <v>356934.97</v>
      </c>
      <c r="P7" s="181">
        <v>315093.50325999997</v>
      </c>
      <c r="Q7" s="211">
        <v>0</v>
      </c>
      <c r="R7" s="209">
        <v>50000</v>
      </c>
      <c r="S7" s="164">
        <v>145931.41999999998</v>
      </c>
      <c r="T7" s="181">
        <v>128836.63886000001</v>
      </c>
      <c r="U7" s="206">
        <v>0</v>
      </c>
      <c r="V7" s="209">
        <v>45000</v>
      </c>
      <c r="W7" s="164">
        <v>91801.39</v>
      </c>
      <c r="X7" s="181">
        <v>80955.701769999985</v>
      </c>
      <c r="Y7" s="211">
        <v>0</v>
      </c>
      <c r="Z7" s="209">
        <f>460000/2</f>
        <v>230000</v>
      </c>
      <c r="AA7" s="164">
        <v>225588.27</v>
      </c>
      <c r="AB7" s="181">
        <v>199145.13050999999</v>
      </c>
      <c r="AC7" s="211">
        <v>0</v>
      </c>
      <c r="AD7" s="303" t="s">
        <v>233</v>
      </c>
      <c r="AE7" s="301"/>
      <c r="AF7" s="301" t="s">
        <v>233</v>
      </c>
      <c r="AG7" s="302"/>
      <c r="AH7" s="303" t="s">
        <v>233</v>
      </c>
      <c r="AI7" s="301"/>
      <c r="AJ7" s="301" t="s">
        <v>233</v>
      </c>
      <c r="AK7" s="302"/>
      <c r="AL7" s="303" t="s">
        <v>233</v>
      </c>
      <c r="AM7" s="301"/>
      <c r="AN7" s="301" t="s">
        <v>233</v>
      </c>
      <c r="AO7" s="302"/>
      <c r="AP7" s="303" t="s">
        <v>233</v>
      </c>
      <c r="AQ7" s="301"/>
      <c r="AR7" s="301" t="s">
        <v>233</v>
      </c>
      <c r="AS7" s="302"/>
      <c r="AT7" s="303" t="s">
        <v>233</v>
      </c>
      <c r="AU7" s="301"/>
      <c r="AV7" s="301" t="s">
        <v>233</v>
      </c>
      <c r="AW7" s="302"/>
      <c r="AX7" s="303" t="s">
        <v>233</v>
      </c>
      <c r="AY7" s="301"/>
      <c r="AZ7" s="301" t="s">
        <v>233</v>
      </c>
      <c r="BA7" s="302"/>
      <c r="BB7" s="267">
        <f t="shared" ref="BB7:BB31" si="0">AY7+AU7+AQ7+AM7+AI7+AE7+AA7+W7+S7+O7+K7+G7</f>
        <v>1513239.29</v>
      </c>
    </row>
    <row r="8" spans="1:54" s="147" customFormat="1" ht="23.4" customHeight="1">
      <c r="A8" s="168">
        <v>106</v>
      </c>
      <c r="B8" s="236" t="s">
        <v>210</v>
      </c>
      <c r="C8" s="224"/>
      <c r="D8" s="238" t="s">
        <v>214</v>
      </c>
      <c r="E8" s="227" t="s">
        <v>202</v>
      </c>
      <c r="F8" s="220">
        <f>1055976.36/2</f>
        <v>527988.18000000005</v>
      </c>
      <c r="G8" s="164">
        <v>558590.54</v>
      </c>
      <c r="H8" s="177">
        <v>480210.00016999996</v>
      </c>
      <c r="I8" s="216">
        <v>0</v>
      </c>
      <c r="J8" s="220">
        <v>45821.279999999999</v>
      </c>
      <c r="K8" s="164">
        <v>60261.864099999992</v>
      </c>
      <c r="L8" s="181">
        <v>51489.774577299992</v>
      </c>
      <c r="M8" s="206">
        <v>0</v>
      </c>
      <c r="N8" s="209">
        <v>900000</v>
      </c>
      <c r="O8" s="164">
        <v>947012.1</v>
      </c>
      <c r="P8" s="181">
        <v>825381.38705000014</v>
      </c>
      <c r="Q8" s="211">
        <v>0</v>
      </c>
      <c r="R8" s="209">
        <f>862000/2</f>
        <v>431000</v>
      </c>
      <c r="S8" s="164">
        <v>540628.35999999987</v>
      </c>
      <c r="T8" s="181">
        <v>470784.11607999995</v>
      </c>
      <c r="U8" s="206">
        <v>0</v>
      </c>
      <c r="V8" s="209">
        <f>696804/2</f>
        <v>348402</v>
      </c>
      <c r="W8" s="164">
        <v>396477.70000000007</v>
      </c>
      <c r="X8" s="181">
        <v>340825.10310000001</v>
      </c>
      <c r="Y8" s="211">
        <v>0</v>
      </c>
      <c r="Z8" s="209">
        <v>1650000</v>
      </c>
      <c r="AA8" s="164">
        <v>1396819.4600000002</v>
      </c>
      <c r="AB8" s="181">
        <v>1202830.6323800001</v>
      </c>
      <c r="AC8" s="211">
        <v>0</v>
      </c>
      <c r="AD8" s="209">
        <v>1200000</v>
      </c>
      <c r="AE8" s="164">
        <v>1250535.1300000001</v>
      </c>
      <c r="AF8" s="181">
        <v>1071288.5923900001</v>
      </c>
      <c r="AG8" s="211">
        <v>0</v>
      </c>
      <c r="AH8" s="209">
        <f>550000/2</f>
        <v>275000</v>
      </c>
      <c r="AI8" s="161">
        <v>283123.64</v>
      </c>
      <c r="AJ8" s="211">
        <v>245602.62487</v>
      </c>
      <c r="AK8" s="211">
        <v>0</v>
      </c>
      <c r="AL8" s="209">
        <f>665000/2</f>
        <v>332500</v>
      </c>
      <c r="AM8" s="209">
        <v>338155.49599999998</v>
      </c>
      <c r="AN8" s="181">
        <v>0</v>
      </c>
      <c r="AO8" s="211">
        <v>290590.13288799999</v>
      </c>
      <c r="AP8" s="209">
        <f>323000/2</f>
        <v>161500</v>
      </c>
      <c r="AQ8" s="161">
        <v>168806.47999999998</v>
      </c>
      <c r="AR8" s="213">
        <v>146550.46143999998</v>
      </c>
      <c r="AS8" s="213">
        <v>0</v>
      </c>
      <c r="AT8" s="209">
        <v>350000</v>
      </c>
      <c r="AU8" s="161">
        <v>416886.8</v>
      </c>
      <c r="AV8" s="211">
        <v>361515.78039999999</v>
      </c>
      <c r="AW8" s="211">
        <v>0</v>
      </c>
      <c r="AX8" s="209">
        <v>43862.36</v>
      </c>
      <c r="AY8" s="209">
        <v>42973.069999999992</v>
      </c>
      <c r="AZ8" s="211">
        <v>36779.17220999999</v>
      </c>
      <c r="BA8" s="211">
        <v>0</v>
      </c>
      <c r="BB8" s="267">
        <f t="shared" si="0"/>
        <v>6400270.6400999995</v>
      </c>
    </row>
    <row r="9" spans="1:54" s="147" customFormat="1" ht="23.4" customHeight="1">
      <c r="A9" s="168">
        <v>143</v>
      </c>
      <c r="B9" s="236" t="s">
        <v>207</v>
      </c>
      <c r="C9" s="224"/>
      <c r="D9" s="238" t="s">
        <v>219</v>
      </c>
      <c r="E9" s="226" t="s">
        <v>205</v>
      </c>
      <c r="F9" s="220">
        <v>0</v>
      </c>
      <c r="G9" s="164">
        <v>0</v>
      </c>
      <c r="H9" s="177">
        <v>0</v>
      </c>
      <c r="I9" s="216">
        <v>0</v>
      </c>
      <c r="J9" s="220">
        <v>137879.14000000001</v>
      </c>
      <c r="K9" s="164">
        <v>0</v>
      </c>
      <c r="L9" s="181"/>
      <c r="M9" s="206">
        <v>0</v>
      </c>
      <c r="N9" s="209">
        <v>137879.14000000001</v>
      </c>
      <c r="O9" s="164">
        <v>0</v>
      </c>
      <c r="P9" s="181">
        <v>0</v>
      </c>
      <c r="Q9" s="211">
        <v>0</v>
      </c>
      <c r="R9" s="209">
        <v>0</v>
      </c>
      <c r="S9" s="164">
        <v>0</v>
      </c>
      <c r="T9" s="180">
        <v>0</v>
      </c>
      <c r="U9" s="206">
        <v>0</v>
      </c>
      <c r="V9" s="209">
        <v>0</v>
      </c>
      <c r="W9" s="164">
        <v>0</v>
      </c>
      <c r="X9" s="181">
        <v>0</v>
      </c>
      <c r="Y9" s="211">
        <v>0</v>
      </c>
      <c r="Z9" s="209">
        <v>0</v>
      </c>
      <c r="AA9" s="164">
        <v>0</v>
      </c>
      <c r="AB9" s="180">
        <v>0</v>
      </c>
      <c r="AC9" s="211">
        <v>0</v>
      </c>
      <c r="AD9" s="209">
        <v>0</v>
      </c>
      <c r="AE9" s="162">
        <v>0</v>
      </c>
      <c r="AF9" s="181">
        <v>0</v>
      </c>
      <c r="AG9" s="211">
        <v>0</v>
      </c>
      <c r="AH9" s="209">
        <v>233438.94</v>
      </c>
      <c r="AI9" s="161">
        <v>137879.14000000001</v>
      </c>
      <c r="AJ9" s="211">
        <v>123815.46772000002</v>
      </c>
      <c r="AK9" s="211">
        <v>0</v>
      </c>
      <c r="AL9" s="303" t="s">
        <v>233</v>
      </c>
      <c r="AM9" s="301"/>
      <c r="AN9" s="301" t="s">
        <v>233</v>
      </c>
      <c r="AO9" s="302"/>
      <c r="AP9" s="303" t="s">
        <v>233</v>
      </c>
      <c r="AQ9" s="301"/>
      <c r="AR9" s="301" t="s">
        <v>233</v>
      </c>
      <c r="AS9" s="302"/>
      <c r="AT9" s="303" t="s">
        <v>233</v>
      </c>
      <c r="AU9" s="301"/>
      <c r="AV9" s="301" t="s">
        <v>233</v>
      </c>
      <c r="AW9" s="302"/>
      <c r="AX9" s="303" t="s">
        <v>233</v>
      </c>
      <c r="AY9" s="301"/>
      <c r="AZ9" s="301" t="s">
        <v>233</v>
      </c>
      <c r="BA9" s="302"/>
      <c r="BB9" s="267">
        <f t="shared" si="0"/>
        <v>137879.14000000001</v>
      </c>
    </row>
    <row r="10" spans="1:54" s="147" customFormat="1" ht="25.5" customHeight="1">
      <c r="A10" s="172">
        <v>154</v>
      </c>
      <c r="B10" s="236" t="s">
        <v>206</v>
      </c>
      <c r="C10" s="224"/>
      <c r="D10" s="238" t="s">
        <v>219</v>
      </c>
      <c r="E10" s="226" t="s">
        <v>205</v>
      </c>
      <c r="F10" s="220">
        <v>0</v>
      </c>
      <c r="G10" s="164">
        <v>0</v>
      </c>
      <c r="H10" s="177">
        <v>0</v>
      </c>
      <c r="I10" s="216">
        <v>0</v>
      </c>
      <c r="J10" s="220">
        <v>68000</v>
      </c>
      <c r="K10" s="164">
        <v>45028.62</v>
      </c>
      <c r="L10" s="181">
        <v>40368.160000000003</v>
      </c>
      <c r="M10" s="206">
        <v>0</v>
      </c>
      <c r="N10" s="209">
        <v>80000</v>
      </c>
      <c r="O10" s="164">
        <v>82782.080000000002</v>
      </c>
      <c r="P10" s="181">
        <v>70364.767999999996</v>
      </c>
      <c r="Q10" s="211">
        <v>0</v>
      </c>
      <c r="R10" s="209">
        <v>0</v>
      </c>
      <c r="S10" s="164">
        <v>0</v>
      </c>
      <c r="T10" s="180">
        <v>0</v>
      </c>
      <c r="U10" s="206">
        <v>0</v>
      </c>
      <c r="V10" s="209">
        <v>175000</v>
      </c>
      <c r="W10" s="164">
        <v>82782.080000000002</v>
      </c>
      <c r="X10" s="181">
        <v>70364.767999999996</v>
      </c>
      <c r="Y10" s="211">
        <v>0</v>
      </c>
      <c r="Z10" s="209">
        <v>142915.01</v>
      </c>
      <c r="AA10" s="164">
        <v>142915.01</v>
      </c>
      <c r="AB10" s="181">
        <f>60738.875*2</f>
        <v>121477.75</v>
      </c>
      <c r="AC10" s="211">
        <v>0</v>
      </c>
      <c r="AD10" s="209">
        <v>0</v>
      </c>
      <c r="AE10" s="162">
        <v>0</v>
      </c>
      <c r="AF10" s="181">
        <v>0</v>
      </c>
      <c r="AG10" s="211">
        <v>0</v>
      </c>
      <c r="AH10" s="209">
        <v>0</v>
      </c>
      <c r="AI10" s="161"/>
      <c r="AJ10" s="181">
        <v>0</v>
      </c>
      <c r="AK10" s="211">
        <v>0</v>
      </c>
      <c r="AL10" s="320" t="s">
        <v>267</v>
      </c>
      <c r="AM10" s="321"/>
      <c r="AN10" s="185"/>
      <c r="AO10" s="210"/>
      <c r="AP10" s="320" t="s">
        <v>267</v>
      </c>
      <c r="AQ10" s="321"/>
      <c r="AR10" s="181">
        <v>0</v>
      </c>
      <c r="AS10" s="213">
        <v>0</v>
      </c>
      <c r="AT10" s="320" t="s">
        <v>267</v>
      </c>
      <c r="AU10" s="321"/>
      <c r="AV10" s="181">
        <v>0</v>
      </c>
      <c r="AW10" s="211">
        <v>0</v>
      </c>
      <c r="AX10" s="320" t="s">
        <v>267</v>
      </c>
      <c r="AY10" s="321"/>
      <c r="AZ10" s="181">
        <v>0</v>
      </c>
      <c r="BA10" s="211">
        <v>0</v>
      </c>
      <c r="BB10" s="267">
        <f t="shared" si="0"/>
        <v>353507.79000000004</v>
      </c>
    </row>
    <row r="11" spans="1:54" s="147" customFormat="1" ht="23.4" customHeight="1">
      <c r="A11" s="170">
        <v>159</v>
      </c>
      <c r="B11" s="239" t="s">
        <v>209</v>
      </c>
      <c r="C11" s="228"/>
      <c r="D11" s="240" t="s">
        <v>215</v>
      </c>
      <c r="E11" s="229" t="s">
        <v>204</v>
      </c>
      <c r="F11" s="220">
        <v>600000</v>
      </c>
      <c r="G11" s="164">
        <v>591967.75</v>
      </c>
      <c r="H11" s="177">
        <v>517528.04478279501</v>
      </c>
      <c r="I11" s="216">
        <v>0</v>
      </c>
      <c r="J11" s="220">
        <v>600000</v>
      </c>
      <c r="K11" s="164">
        <v>544928.13</v>
      </c>
      <c r="L11" s="181">
        <v>477427.52574000007</v>
      </c>
      <c r="M11" s="206">
        <v>0</v>
      </c>
      <c r="N11" s="209">
        <v>395000</v>
      </c>
      <c r="O11" s="164">
        <v>363811.19</v>
      </c>
      <c r="P11" s="181">
        <v>318301.95</v>
      </c>
      <c r="Q11" s="211">
        <v>0</v>
      </c>
      <c r="R11" s="209">
        <v>220000</v>
      </c>
      <c r="S11" s="164">
        <v>217761.50584500001</v>
      </c>
      <c r="T11" s="181">
        <v>191114.29364198502</v>
      </c>
      <c r="U11" s="206">
        <v>0</v>
      </c>
      <c r="V11" s="209">
        <v>575296.35</v>
      </c>
      <c r="W11" s="164">
        <v>1282789.71</v>
      </c>
      <c r="X11" s="181">
        <v>1131800.47593</v>
      </c>
      <c r="Y11" s="211">
        <v>0</v>
      </c>
      <c r="Z11" s="209">
        <v>980000</v>
      </c>
      <c r="AA11" s="164">
        <v>983103.89270199998</v>
      </c>
      <c r="AB11" s="181">
        <v>865865.89979235595</v>
      </c>
      <c r="AC11" s="211">
        <v>0</v>
      </c>
      <c r="AD11" s="209">
        <v>60000</v>
      </c>
      <c r="AE11" s="164">
        <v>130010.06</v>
      </c>
      <c r="AF11" s="181">
        <v>114259.6932923225</v>
      </c>
      <c r="AG11" s="211">
        <v>0</v>
      </c>
      <c r="AH11" s="209">
        <v>350000</v>
      </c>
      <c r="AI11" s="161">
        <v>396036.08</v>
      </c>
      <c r="AJ11" s="211">
        <v>348291.54804000002</v>
      </c>
      <c r="AK11" s="211">
        <v>0</v>
      </c>
      <c r="AL11" s="209">
        <v>590000</v>
      </c>
      <c r="AM11" s="164">
        <v>745398.8</v>
      </c>
      <c r="AN11" s="211">
        <v>655875.63299500057</v>
      </c>
      <c r="AO11" s="211">
        <v>0</v>
      </c>
      <c r="AP11" s="209">
        <v>605000</v>
      </c>
      <c r="AQ11" s="161">
        <v>746149.91632299998</v>
      </c>
      <c r="AR11" s="211">
        <v>655522.67425663397</v>
      </c>
      <c r="AS11" s="211">
        <v>0</v>
      </c>
      <c r="AT11" s="209">
        <v>410000</v>
      </c>
      <c r="AU11" s="161">
        <v>546412.68000000005</v>
      </c>
      <c r="AV11" s="181">
        <v>480395.11694000004</v>
      </c>
      <c r="AW11" s="211">
        <v>0</v>
      </c>
      <c r="AX11" s="209">
        <v>65000</v>
      </c>
      <c r="AY11" s="209">
        <v>58243.810855999996</v>
      </c>
      <c r="AZ11" s="181">
        <v>51138.065931567995</v>
      </c>
      <c r="BA11" s="211">
        <v>0</v>
      </c>
      <c r="BB11" s="267">
        <f t="shared" si="0"/>
        <v>6606613.5257259998</v>
      </c>
    </row>
    <row r="12" spans="1:54" s="147" customFormat="1" ht="23.4" customHeight="1">
      <c r="A12" s="170">
        <v>162</v>
      </c>
      <c r="B12" s="239" t="s">
        <v>208</v>
      </c>
      <c r="C12" s="228"/>
      <c r="D12" s="240" t="s">
        <v>216</v>
      </c>
      <c r="E12" s="229" t="s">
        <v>203</v>
      </c>
      <c r="F12" s="220">
        <v>60000</v>
      </c>
      <c r="G12" s="164">
        <v>66423.73</v>
      </c>
      <c r="H12" s="177">
        <v>58518.517879999999</v>
      </c>
      <c r="I12" s="216">
        <v>0</v>
      </c>
      <c r="J12" s="220">
        <v>600000</v>
      </c>
      <c r="K12" s="164">
        <v>619086.39</v>
      </c>
      <c r="L12" s="181">
        <v>544793.34712000005</v>
      </c>
      <c r="M12" s="206">
        <v>0</v>
      </c>
      <c r="N12" s="209">
        <v>170000</v>
      </c>
      <c r="O12" s="164">
        <v>84845.95</v>
      </c>
      <c r="P12" s="181">
        <v>74189.179999999993</v>
      </c>
      <c r="Q12" s="211">
        <v>0</v>
      </c>
      <c r="R12" s="209">
        <v>220000</v>
      </c>
      <c r="S12" s="164">
        <v>221678.09999999998</v>
      </c>
      <c r="T12" s="181">
        <v>195308.37393999999</v>
      </c>
      <c r="U12" s="206">
        <v>0</v>
      </c>
      <c r="V12" s="209">
        <v>130000</v>
      </c>
      <c r="W12" s="164">
        <v>147703.52000000002</v>
      </c>
      <c r="X12" s="181">
        <v>130842.98740000001</v>
      </c>
      <c r="Y12" s="211">
        <v>0</v>
      </c>
      <c r="Z12" s="209">
        <v>80000</v>
      </c>
      <c r="AA12" s="164">
        <v>88605.73</v>
      </c>
      <c r="AB12" s="181">
        <v>77829.759089999992</v>
      </c>
      <c r="AC12" s="211">
        <v>0</v>
      </c>
      <c r="AD12" s="209">
        <v>40000</v>
      </c>
      <c r="AE12" s="164">
        <v>42204.861400179994</v>
      </c>
      <c r="AF12" s="181">
        <v>37146.455474089671</v>
      </c>
      <c r="AG12" s="211">
        <v>0</v>
      </c>
      <c r="AH12" s="209">
        <v>0</v>
      </c>
      <c r="AI12" s="164">
        <v>0</v>
      </c>
      <c r="AJ12" s="181">
        <v>0</v>
      </c>
      <c r="AK12" s="211">
        <v>0</v>
      </c>
      <c r="AL12" s="209">
        <v>60000</v>
      </c>
      <c r="AM12" s="164">
        <v>50166.794999999998</v>
      </c>
      <c r="AN12" s="211">
        <v>44023.537985000003</v>
      </c>
      <c r="AO12" s="211">
        <v>0</v>
      </c>
      <c r="AP12" s="209">
        <v>0</v>
      </c>
      <c r="AQ12" s="161">
        <v>0</v>
      </c>
      <c r="AR12" s="180">
        <v>0</v>
      </c>
      <c r="AS12" s="213">
        <v>0</v>
      </c>
      <c r="AT12" s="209">
        <v>0</v>
      </c>
      <c r="AU12" s="161">
        <v>0</v>
      </c>
      <c r="AV12" s="181">
        <v>0</v>
      </c>
      <c r="AW12" s="211">
        <v>0</v>
      </c>
      <c r="AX12" s="209">
        <v>150407.09</v>
      </c>
      <c r="AY12" s="209">
        <v>150407.09</v>
      </c>
      <c r="AZ12" s="181">
        <v>132809.46046999999</v>
      </c>
      <c r="BA12" s="211">
        <v>0</v>
      </c>
      <c r="BB12" s="267">
        <f t="shared" si="0"/>
        <v>1471122.16640018</v>
      </c>
    </row>
    <row r="13" spans="1:54" s="147" customFormat="1" ht="23.4" customHeight="1">
      <c r="A13" s="170">
        <v>172</v>
      </c>
      <c r="B13" s="239" t="s">
        <v>249</v>
      </c>
      <c r="C13" s="228"/>
      <c r="D13" s="240" t="s">
        <v>218</v>
      </c>
      <c r="E13" s="226" t="s">
        <v>205</v>
      </c>
      <c r="F13" s="220">
        <v>0</v>
      </c>
      <c r="G13" s="164">
        <v>0</v>
      </c>
      <c r="H13" s="177"/>
      <c r="I13" s="216">
        <v>0</v>
      </c>
      <c r="J13" s="220">
        <v>0</v>
      </c>
      <c r="K13" s="164">
        <v>3541.48</v>
      </c>
      <c r="L13" s="181">
        <v>3174.9368199999999</v>
      </c>
      <c r="M13" s="206">
        <v>0</v>
      </c>
      <c r="N13" s="161">
        <v>0</v>
      </c>
      <c r="O13" s="161">
        <v>0</v>
      </c>
      <c r="P13" s="181">
        <v>0</v>
      </c>
      <c r="Q13" s="181">
        <v>0</v>
      </c>
      <c r="R13" s="164">
        <v>0</v>
      </c>
      <c r="S13" s="164">
        <v>0</v>
      </c>
      <c r="T13" s="180">
        <v>0</v>
      </c>
      <c r="U13" s="206">
        <v>0</v>
      </c>
      <c r="V13" s="209">
        <v>0</v>
      </c>
      <c r="W13" s="164">
        <v>0</v>
      </c>
      <c r="X13" s="164">
        <v>0</v>
      </c>
      <c r="Y13" s="211">
        <v>0</v>
      </c>
      <c r="Z13" s="303" t="s">
        <v>233</v>
      </c>
      <c r="AA13" s="301"/>
      <c r="AB13" s="301" t="s">
        <v>233</v>
      </c>
      <c r="AC13" s="302"/>
      <c r="AD13" s="303" t="s">
        <v>233</v>
      </c>
      <c r="AE13" s="301"/>
      <c r="AF13" s="301" t="s">
        <v>233</v>
      </c>
      <c r="AG13" s="302"/>
      <c r="AH13" s="303" t="s">
        <v>233</v>
      </c>
      <c r="AI13" s="301"/>
      <c r="AJ13" s="301" t="s">
        <v>233</v>
      </c>
      <c r="AK13" s="302"/>
      <c r="AL13" s="303" t="s">
        <v>233</v>
      </c>
      <c r="AM13" s="301"/>
      <c r="AN13" s="301" t="s">
        <v>233</v>
      </c>
      <c r="AO13" s="302"/>
      <c r="AP13" s="303" t="s">
        <v>233</v>
      </c>
      <c r="AQ13" s="301"/>
      <c r="AR13" s="301" t="s">
        <v>233</v>
      </c>
      <c r="AS13" s="302"/>
      <c r="AT13" s="303" t="s">
        <v>233</v>
      </c>
      <c r="AU13" s="301"/>
      <c r="AV13" s="301" t="s">
        <v>233</v>
      </c>
      <c r="AW13" s="302"/>
      <c r="AX13" s="303" t="s">
        <v>233</v>
      </c>
      <c r="AY13" s="301"/>
      <c r="AZ13" s="301" t="s">
        <v>233</v>
      </c>
      <c r="BA13" s="302"/>
      <c r="BB13" s="267">
        <f t="shared" si="0"/>
        <v>3541.48</v>
      </c>
    </row>
    <row r="14" spans="1:54" s="147" customFormat="1" ht="23.4" customHeight="1">
      <c r="A14" s="170">
        <v>172</v>
      </c>
      <c r="B14" s="239" t="s">
        <v>220</v>
      </c>
      <c r="C14" s="228"/>
      <c r="D14" s="240" t="s">
        <v>218</v>
      </c>
      <c r="E14" s="226" t="s">
        <v>205</v>
      </c>
      <c r="F14" s="220">
        <v>0</v>
      </c>
      <c r="G14" s="164">
        <v>0</v>
      </c>
      <c r="H14" s="177"/>
      <c r="I14" s="216">
        <v>0</v>
      </c>
      <c r="J14" s="220">
        <v>37000</v>
      </c>
      <c r="K14" s="164">
        <v>0</v>
      </c>
      <c r="L14" s="181">
        <v>0</v>
      </c>
      <c r="M14" s="206">
        <v>0</v>
      </c>
      <c r="N14" s="164">
        <v>53500</v>
      </c>
      <c r="O14" s="164">
        <v>58229.89</v>
      </c>
      <c r="P14" s="181">
        <v>49495.406499999997</v>
      </c>
      <c r="Q14" s="181">
        <v>0</v>
      </c>
      <c r="R14" s="164">
        <v>0</v>
      </c>
      <c r="S14" s="164">
        <v>0</v>
      </c>
      <c r="T14" s="180">
        <v>0</v>
      </c>
      <c r="U14" s="206">
        <v>0</v>
      </c>
      <c r="V14" s="209">
        <v>0</v>
      </c>
      <c r="W14" s="164">
        <v>0</v>
      </c>
      <c r="X14" s="164">
        <v>0</v>
      </c>
      <c r="Y14" s="211">
        <v>0</v>
      </c>
      <c r="Z14" s="303" t="s">
        <v>233</v>
      </c>
      <c r="AA14" s="301"/>
      <c r="AB14" s="301" t="s">
        <v>233</v>
      </c>
      <c r="AC14" s="302"/>
      <c r="AD14" s="303" t="s">
        <v>233</v>
      </c>
      <c r="AE14" s="301"/>
      <c r="AF14" s="301" t="s">
        <v>233</v>
      </c>
      <c r="AG14" s="302"/>
      <c r="AH14" s="303" t="s">
        <v>233</v>
      </c>
      <c r="AI14" s="301"/>
      <c r="AJ14" s="301" t="s">
        <v>233</v>
      </c>
      <c r="AK14" s="302"/>
      <c r="AL14" s="303" t="s">
        <v>233</v>
      </c>
      <c r="AM14" s="301"/>
      <c r="AN14" s="301" t="s">
        <v>233</v>
      </c>
      <c r="AO14" s="302"/>
      <c r="AP14" s="303" t="s">
        <v>233</v>
      </c>
      <c r="AQ14" s="301"/>
      <c r="AR14" s="301" t="s">
        <v>233</v>
      </c>
      <c r="AS14" s="302"/>
      <c r="AT14" s="303" t="s">
        <v>233</v>
      </c>
      <c r="AU14" s="301"/>
      <c r="AV14" s="301" t="s">
        <v>233</v>
      </c>
      <c r="AW14" s="302"/>
      <c r="AX14" s="303" t="s">
        <v>233</v>
      </c>
      <c r="AY14" s="301"/>
      <c r="AZ14" s="301" t="s">
        <v>233</v>
      </c>
      <c r="BA14" s="302"/>
      <c r="BB14" s="267">
        <f t="shared" si="0"/>
        <v>58229.89</v>
      </c>
    </row>
    <row r="15" spans="1:54" s="147" customFormat="1" ht="23.4" customHeight="1">
      <c r="A15" s="170">
        <v>173</v>
      </c>
      <c r="B15" s="239" t="s">
        <v>221</v>
      </c>
      <c r="C15" s="228"/>
      <c r="D15" s="240" t="s">
        <v>218</v>
      </c>
      <c r="E15" s="226" t="s">
        <v>205</v>
      </c>
      <c r="F15" s="220">
        <v>0</v>
      </c>
      <c r="G15" s="164">
        <v>0</v>
      </c>
      <c r="H15" s="177"/>
      <c r="I15" s="216">
        <v>0</v>
      </c>
      <c r="J15" s="220">
        <v>75000</v>
      </c>
      <c r="K15" s="164">
        <v>67382.02</v>
      </c>
      <c r="L15" s="181">
        <v>60407.987000000001</v>
      </c>
      <c r="M15" s="206">
        <v>0</v>
      </c>
      <c r="N15" s="164">
        <v>44500</v>
      </c>
      <c r="O15" s="164">
        <v>0</v>
      </c>
      <c r="P15" s="181">
        <v>0</v>
      </c>
      <c r="Q15" s="181">
        <v>0</v>
      </c>
      <c r="R15" s="164">
        <v>40000</v>
      </c>
      <c r="S15" s="164">
        <v>0</v>
      </c>
      <c r="T15" s="180">
        <v>0</v>
      </c>
      <c r="U15" s="206">
        <v>0</v>
      </c>
      <c r="V15" s="209">
        <v>70000</v>
      </c>
      <c r="W15" s="164">
        <f>41197.32+21985.05</f>
        <v>63182.369999999995</v>
      </c>
      <c r="X15" s="181">
        <f>35017.722+19709.597325</f>
        <v>54727.319325000004</v>
      </c>
      <c r="Y15" s="211">
        <v>0</v>
      </c>
      <c r="Z15" s="303" t="s">
        <v>233</v>
      </c>
      <c r="AA15" s="301"/>
      <c r="AB15" s="301" t="s">
        <v>233</v>
      </c>
      <c r="AC15" s="302"/>
      <c r="AD15" s="303" t="s">
        <v>233</v>
      </c>
      <c r="AE15" s="301"/>
      <c r="AF15" s="301" t="s">
        <v>233</v>
      </c>
      <c r="AG15" s="302"/>
      <c r="AH15" s="303" t="s">
        <v>233</v>
      </c>
      <c r="AI15" s="301"/>
      <c r="AJ15" s="301" t="s">
        <v>233</v>
      </c>
      <c r="AK15" s="302"/>
      <c r="AL15" s="303" t="s">
        <v>233</v>
      </c>
      <c r="AM15" s="301"/>
      <c r="AN15" s="301" t="s">
        <v>233</v>
      </c>
      <c r="AO15" s="302"/>
      <c r="AP15" s="303" t="s">
        <v>233</v>
      </c>
      <c r="AQ15" s="301"/>
      <c r="AR15" s="301" t="s">
        <v>233</v>
      </c>
      <c r="AS15" s="302"/>
      <c r="AT15" s="303" t="s">
        <v>233</v>
      </c>
      <c r="AU15" s="301"/>
      <c r="AV15" s="301" t="s">
        <v>233</v>
      </c>
      <c r="AW15" s="302"/>
      <c r="AX15" s="303" t="s">
        <v>233</v>
      </c>
      <c r="AY15" s="301"/>
      <c r="AZ15" s="301" t="s">
        <v>233</v>
      </c>
      <c r="BA15" s="302"/>
      <c r="BB15" s="267">
        <f t="shared" si="0"/>
        <v>130564.39</v>
      </c>
    </row>
    <row r="16" spans="1:54" s="147" customFormat="1" ht="23.4" customHeight="1">
      <c r="A16" s="170">
        <v>174</v>
      </c>
      <c r="B16" s="239" t="s">
        <v>226</v>
      </c>
      <c r="C16" s="228"/>
      <c r="D16" s="240" t="s">
        <v>222</v>
      </c>
      <c r="E16" s="226" t="s">
        <v>223</v>
      </c>
      <c r="F16" s="220">
        <v>235000</v>
      </c>
      <c r="G16" s="164">
        <v>252433.26</v>
      </c>
      <c r="H16" s="177">
        <v>220879.10250000001</v>
      </c>
      <c r="I16" s="216">
        <v>0</v>
      </c>
      <c r="J16" s="220">
        <v>235000</v>
      </c>
      <c r="K16" s="164">
        <v>216415.35999999999</v>
      </c>
      <c r="L16" s="181">
        <v>199426.76</v>
      </c>
      <c r="M16" s="206">
        <v>0</v>
      </c>
      <c r="N16" s="209">
        <v>210000</v>
      </c>
      <c r="O16" s="164">
        <v>200437.91</v>
      </c>
      <c r="P16" s="181">
        <v>175383.17125000001</v>
      </c>
      <c r="Q16" s="211">
        <v>0</v>
      </c>
      <c r="R16" s="209">
        <v>227133</v>
      </c>
      <c r="S16" s="164">
        <v>227113.1</v>
      </c>
      <c r="T16" s="181">
        <v>198723.96249999999</v>
      </c>
      <c r="U16" s="206">
        <v>0</v>
      </c>
      <c r="V16" s="209">
        <v>165000</v>
      </c>
      <c r="W16" s="164">
        <v>112614.42</v>
      </c>
      <c r="X16" s="181">
        <v>98537.617499999993</v>
      </c>
      <c r="Y16" s="211">
        <v>0</v>
      </c>
      <c r="Z16" s="209">
        <v>125000</v>
      </c>
      <c r="AA16" s="164">
        <v>142016.9</v>
      </c>
      <c r="AB16" s="181">
        <v>124264.78749999999</v>
      </c>
      <c r="AC16" s="211">
        <v>0</v>
      </c>
      <c r="AD16" s="209">
        <v>260000</v>
      </c>
      <c r="AE16" s="164">
        <v>263211.58</v>
      </c>
      <c r="AF16" s="181">
        <v>230310.13250000001</v>
      </c>
      <c r="AG16" s="211">
        <v>0</v>
      </c>
      <c r="AH16" s="209">
        <v>355000</v>
      </c>
      <c r="AI16" s="161">
        <v>324826.21000000002</v>
      </c>
      <c r="AJ16" s="211">
        <v>284222.93</v>
      </c>
      <c r="AK16" s="211">
        <v>0</v>
      </c>
      <c r="AL16" s="209">
        <v>485000</v>
      </c>
      <c r="AM16" s="164">
        <v>455466.19</v>
      </c>
      <c r="AN16" s="211">
        <v>398532.91625000001</v>
      </c>
      <c r="AO16" s="211">
        <v>0</v>
      </c>
      <c r="AP16" s="209">
        <v>500000</v>
      </c>
      <c r="AQ16" s="161">
        <v>517754.23</v>
      </c>
      <c r="AR16" s="213">
        <v>453034.95124999998</v>
      </c>
      <c r="AS16" s="213">
        <v>0</v>
      </c>
      <c r="AT16" s="209">
        <v>400000</v>
      </c>
      <c r="AU16" s="161">
        <v>352359.24</v>
      </c>
      <c r="AV16" s="211">
        <v>308314.33499999996</v>
      </c>
      <c r="AW16" s="211">
        <v>0</v>
      </c>
      <c r="AX16" s="209">
        <v>250000</v>
      </c>
      <c r="AY16" s="209">
        <v>249376.76</v>
      </c>
      <c r="AZ16" s="211">
        <v>218204.66500000001</v>
      </c>
      <c r="BA16" s="211">
        <v>0</v>
      </c>
      <c r="BB16" s="267">
        <f t="shared" si="0"/>
        <v>3314025.16</v>
      </c>
    </row>
    <row r="17" spans="1:55 16376:16377" s="147" customFormat="1" ht="23.4" customHeight="1">
      <c r="A17" s="170">
        <v>175</v>
      </c>
      <c r="B17" s="239" t="s">
        <v>224</v>
      </c>
      <c r="C17" s="228"/>
      <c r="D17" s="240" t="s">
        <v>217</v>
      </c>
      <c r="E17" s="226" t="s">
        <v>225</v>
      </c>
      <c r="F17" s="220">
        <v>169000</v>
      </c>
      <c r="G17" s="164">
        <v>170724.27</v>
      </c>
      <c r="H17" s="177">
        <v>160139.37</v>
      </c>
      <c r="I17" s="216">
        <v>0</v>
      </c>
      <c r="J17" s="220">
        <v>0</v>
      </c>
      <c r="K17" s="164">
        <v>0</v>
      </c>
      <c r="L17" s="181">
        <v>0</v>
      </c>
      <c r="M17" s="206">
        <v>0</v>
      </c>
      <c r="N17" s="209">
        <v>0</v>
      </c>
      <c r="O17" s="164">
        <v>0</v>
      </c>
      <c r="P17" s="181">
        <v>0</v>
      </c>
      <c r="Q17" s="211">
        <v>0</v>
      </c>
      <c r="R17" s="209">
        <v>100000</v>
      </c>
      <c r="S17" s="164">
        <v>150656.29</v>
      </c>
      <c r="T17" s="181">
        <v>141315.60002000001</v>
      </c>
      <c r="U17" s="206">
        <v>0</v>
      </c>
      <c r="V17" s="209">
        <v>866729.56</v>
      </c>
      <c r="W17" s="164">
        <f>V17</f>
        <v>866729.56</v>
      </c>
      <c r="X17" s="181">
        <v>812992.33</v>
      </c>
      <c r="Y17" s="211">
        <v>0</v>
      </c>
      <c r="Z17" s="209">
        <v>1500000</v>
      </c>
      <c r="AA17" s="164">
        <v>2325113.52</v>
      </c>
      <c r="AB17" s="181">
        <v>2180956.4817599999</v>
      </c>
      <c r="AC17" s="211">
        <v>0</v>
      </c>
      <c r="AD17" s="209">
        <v>0</v>
      </c>
      <c r="AE17" s="164">
        <v>0</v>
      </c>
      <c r="AF17" s="181"/>
      <c r="AG17" s="211">
        <v>0</v>
      </c>
      <c r="AH17" s="209">
        <v>0</v>
      </c>
      <c r="AI17" s="161">
        <v>0</v>
      </c>
      <c r="AJ17" s="181">
        <v>0</v>
      </c>
      <c r="AK17" s="211">
        <v>0</v>
      </c>
      <c r="AL17" s="209">
        <v>0</v>
      </c>
      <c r="AM17" s="164">
        <v>0</v>
      </c>
      <c r="AN17" s="185"/>
      <c r="AO17" s="211">
        <v>0</v>
      </c>
      <c r="AP17" s="209">
        <v>0</v>
      </c>
      <c r="AQ17" s="164">
        <v>506577.48</v>
      </c>
      <c r="AR17" s="181">
        <v>475169.67624</v>
      </c>
      <c r="AS17" s="211">
        <v>0</v>
      </c>
      <c r="AT17" s="209">
        <v>500000</v>
      </c>
      <c r="AU17" s="161">
        <v>1057736.99</v>
      </c>
      <c r="AV17" s="181">
        <v>992157.29661999992</v>
      </c>
      <c r="AW17" s="211">
        <v>0</v>
      </c>
      <c r="AX17" s="209">
        <v>0</v>
      </c>
      <c r="AY17" s="209">
        <v>0</v>
      </c>
      <c r="AZ17" s="181">
        <v>0</v>
      </c>
      <c r="BA17" s="211">
        <v>0</v>
      </c>
      <c r="BB17" s="267">
        <f t="shared" si="0"/>
        <v>5077538.1100000003</v>
      </c>
    </row>
    <row r="18" spans="1:55 16376:16377" s="147" customFormat="1" ht="23.4" customHeight="1">
      <c r="A18" s="170">
        <v>179</v>
      </c>
      <c r="B18" s="239" t="s">
        <v>227</v>
      </c>
      <c r="C18" s="228"/>
      <c r="D18" s="240" t="s">
        <v>217</v>
      </c>
      <c r="E18" s="229" t="s">
        <v>223</v>
      </c>
      <c r="F18" s="220">
        <v>154847.77000000002</v>
      </c>
      <c r="G18" s="164">
        <v>21898.98</v>
      </c>
      <c r="H18" s="177">
        <v>18942.617699999999</v>
      </c>
      <c r="I18" s="216">
        <v>0</v>
      </c>
      <c r="J18" s="220">
        <v>117500</v>
      </c>
      <c r="K18" s="164">
        <v>119808.63</v>
      </c>
      <c r="L18" s="181">
        <v>103634.46495000001</v>
      </c>
      <c r="M18" s="206">
        <v>0</v>
      </c>
      <c r="N18" s="307" t="s">
        <v>233</v>
      </c>
      <c r="O18" s="317"/>
      <c r="P18" s="307" t="s">
        <v>233</v>
      </c>
      <c r="Q18" s="317"/>
      <c r="R18" s="307" t="s">
        <v>233</v>
      </c>
      <c r="S18" s="317"/>
      <c r="T18" s="307" t="s">
        <v>233</v>
      </c>
      <c r="U18" s="308"/>
      <c r="V18" s="303" t="s">
        <v>233</v>
      </c>
      <c r="W18" s="301"/>
      <c r="X18" s="301" t="s">
        <v>233</v>
      </c>
      <c r="Y18" s="302"/>
      <c r="Z18" s="303" t="s">
        <v>233</v>
      </c>
      <c r="AA18" s="301"/>
      <c r="AB18" s="301" t="s">
        <v>233</v>
      </c>
      <c r="AC18" s="302"/>
      <c r="AD18" s="303" t="s">
        <v>233</v>
      </c>
      <c r="AE18" s="301"/>
      <c r="AF18" s="301" t="s">
        <v>233</v>
      </c>
      <c r="AG18" s="302"/>
      <c r="AH18" s="303" t="s">
        <v>233</v>
      </c>
      <c r="AI18" s="301"/>
      <c r="AJ18" s="301" t="s">
        <v>233</v>
      </c>
      <c r="AK18" s="302"/>
      <c r="AL18" s="303" t="s">
        <v>233</v>
      </c>
      <c r="AM18" s="301"/>
      <c r="AN18" s="301" t="s">
        <v>233</v>
      </c>
      <c r="AO18" s="302"/>
      <c r="AP18" s="303" t="s">
        <v>233</v>
      </c>
      <c r="AQ18" s="301"/>
      <c r="AR18" s="301" t="s">
        <v>233</v>
      </c>
      <c r="AS18" s="302"/>
      <c r="AT18" s="303" t="s">
        <v>233</v>
      </c>
      <c r="AU18" s="301"/>
      <c r="AV18" s="301" t="s">
        <v>233</v>
      </c>
      <c r="AW18" s="302"/>
      <c r="AX18" s="303" t="s">
        <v>233</v>
      </c>
      <c r="AY18" s="301"/>
      <c r="AZ18" s="301" t="s">
        <v>233</v>
      </c>
      <c r="BA18" s="302"/>
      <c r="BB18" s="267">
        <f t="shared" si="0"/>
        <v>141707.61000000002</v>
      </c>
    </row>
    <row r="19" spans="1:55 16376:16377" s="147" customFormat="1" ht="23.4" customHeight="1">
      <c r="A19" s="170">
        <v>181</v>
      </c>
      <c r="B19" s="239" t="s">
        <v>228</v>
      </c>
      <c r="C19" s="228"/>
      <c r="D19" s="240" t="s">
        <v>219</v>
      </c>
      <c r="E19" s="229" t="s">
        <v>223</v>
      </c>
      <c r="F19" s="220">
        <v>99385</v>
      </c>
      <c r="G19" s="164">
        <v>99385</v>
      </c>
      <c r="H19" s="177">
        <v>86266.18</v>
      </c>
      <c r="I19" s="216">
        <v>0</v>
      </c>
      <c r="J19" s="303" t="s">
        <v>233</v>
      </c>
      <c r="K19" s="301"/>
      <c r="L19" s="301" t="s">
        <v>233</v>
      </c>
      <c r="M19" s="301"/>
      <c r="N19" s="307" t="s">
        <v>233</v>
      </c>
      <c r="O19" s="317"/>
      <c r="P19" s="307" t="s">
        <v>233</v>
      </c>
      <c r="Q19" s="317"/>
      <c r="R19" s="307" t="s">
        <v>233</v>
      </c>
      <c r="S19" s="317"/>
      <c r="T19" s="307" t="s">
        <v>233</v>
      </c>
      <c r="U19" s="308"/>
      <c r="V19" s="303" t="s">
        <v>233</v>
      </c>
      <c r="W19" s="301"/>
      <c r="X19" s="301" t="s">
        <v>233</v>
      </c>
      <c r="Y19" s="302"/>
      <c r="Z19" s="303" t="s">
        <v>233</v>
      </c>
      <c r="AA19" s="301"/>
      <c r="AB19" s="301" t="s">
        <v>233</v>
      </c>
      <c r="AC19" s="302"/>
      <c r="AD19" s="303" t="s">
        <v>233</v>
      </c>
      <c r="AE19" s="301"/>
      <c r="AF19" s="301" t="s">
        <v>233</v>
      </c>
      <c r="AG19" s="302"/>
      <c r="AH19" s="303" t="s">
        <v>233</v>
      </c>
      <c r="AI19" s="301"/>
      <c r="AJ19" s="301" t="s">
        <v>233</v>
      </c>
      <c r="AK19" s="302"/>
      <c r="AL19" s="303" t="s">
        <v>233</v>
      </c>
      <c r="AM19" s="301"/>
      <c r="AN19" s="301" t="s">
        <v>233</v>
      </c>
      <c r="AO19" s="302"/>
      <c r="AP19" s="303" t="s">
        <v>233</v>
      </c>
      <c r="AQ19" s="301"/>
      <c r="AR19" s="301" t="s">
        <v>233</v>
      </c>
      <c r="AS19" s="302"/>
      <c r="AT19" s="303" t="s">
        <v>233</v>
      </c>
      <c r="AU19" s="301"/>
      <c r="AV19" s="301" t="s">
        <v>233</v>
      </c>
      <c r="AW19" s="302"/>
      <c r="AX19" s="303" t="s">
        <v>233</v>
      </c>
      <c r="AY19" s="301"/>
      <c r="AZ19" s="301" t="s">
        <v>233</v>
      </c>
      <c r="BA19" s="302"/>
      <c r="BB19" s="267">
        <f t="shared" si="0"/>
        <v>99385</v>
      </c>
    </row>
    <row r="20" spans="1:55 16376:16377" s="147" customFormat="1" ht="23.4" customHeight="1">
      <c r="A20" s="170">
        <v>183</v>
      </c>
      <c r="B20" s="239" t="s">
        <v>232</v>
      </c>
      <c r="C20" s="228"/>
      <c r="D20" s="240" t="s">
        <v>217</v>
      </c>
      <c r="E20" s="229" t="s">
        <v>225</v>
      </c>
      <c r="F20" s="220">
        <v>99000</v>
      </c>
      <c r="G20" s="164">
        <v>0</v>
      </c>
      <c r="H20" s="177">
        <v>0</v>
      </c>
      <c r="I20" s="216">
        <v>0</v>
      </c>
      <c r="J20" s="220">
        <v>99000</v>
      </c>
      <c r="K20" s="164">
        <v>103633.44</v>
      </c>
      <c r="L20" s="181">
        <v>97208.166719999994</v>
      </c>
      <c r="M20" s="206">
        <v>0</v>
      </c>
      <c r="N20" s="220">
        <v>215000</v>
      </c>
      <c r="O20" s="164">
        <v>102277.71</v>
      </c>
      <c r="P20" s="181">
        <v>95936.49</v>
      </c>
      <c r="Q20" s="211">
        <v>0</v>
      </c>
      <c r="R20" s="209">
        <v>120000</v>
      </c>
      <c r="S20" s="164">
        <v>197040.23</v>
      </c>
      <c r="T20" s="181">
        <v>184823.73574</v>
      </c>
      <c r="U20" s="206">
        <v>0</v>
      </c>
      <c r="V20" s="209">
        <v>300000</v>
      </c>
      <c r="W20" s="164">
        <v>307763.19</v>
      </c>
      <c r="X20" s="181">
        <v>288681.87222000002</v>
      </c>
      <c r="Y20" s="211">
        <v>0</v>
      </c>
      <c r="Z20" s="209">
        <v>20000</v>
      </c>
      <c r="AA20" s="164">
        <v>21444.47</v>
      </c>
      <c r="AB20" s="181">
        <v>20114.91286</v>
      </c>
      <c r="AC20" s="211">
        <v>0</v>
      </c>
      <c r="AD20" s="209">
        <v>0</v>
      </c>
      <c r="AE20" s="162">
        <v>0</v>
      </c>
      <c r="AF20" s="181">
        <v>0</v>
      </c>
      <c r="AG20" s="211">
        <v>0</v>
      </c>
      <c r="AH20" s="209">
        <v>0</v>
      </c>
      <c r="AI20" s="161">
        <v>0</v>
      </c>
      <c r="AJ20" s="181">
        <v>0</v>
      </c>
      <c r="AK20" s="211">
        <v>0</v>
      </c>
      <c r="AL20" s="209">
        <v>0</v>
      </c>
      <c r="AM20" s="164">
        <v>0</v>
      </c>
      <c r="AN20" s="185"/>
      <c r="AO20" s="211">
        <v>0</v>
      </c>
      <c r="AP20" s="209">
        <v>0</v>
      </c>
      <c r="AQ20" s="161">
        <v>0</v>
      </c>
      <c r="AR20" s="180">
        <v>0</v>
      </c>
      <c r="AS20" s="213">
        <v>0</v>
      </c>
      <c r="AT20" s="209">
        <v>160000</v>
      </c>
      <c r="AU20" s="161">
        <v>202125.28</v>
      </c>
      <c r="AV20" s="181">
        <v>189593.51263999997</v>
      </c>
      <c r="AW20" s="211">
        <v>0</v>
      </c>
      <c r="AX20" s="209">
        <v>0</v>
      </c>
      <c r="AY20" s="209">
        <v>0</v>
      </c>
      <c r="AZ20" s="181">
        <v>0</v>
      </c>
      <c r="BA20" s="211">
        <v>0</v>
      </c>
      <c r="BB20" s="267">
        <f t="shared" si="0"/>
        <v>934284.31999999983</v>
      </c>
    </row>
    <row r="21" spans="1:55 16376:16377" s="147" customFormat="1" ht="23.25" customHeight="1">
      <c r="A21" s="170">
        <v>184</v>
      </c>
      <c r="B21" s="239" t="s">
        <v>266</v>
      </c>
      <c r="C21" s="228"/>
      <c r="D21" s="240" t="s">
        <v>230</v>
      </c>
      <c r="E21" s="229" t="s">
        <v>231</v>
      </c>
      <c r="F21" s="220">
        <v>0</v>
      </c>
      <c r="G21" s="164">
        <v>23182.63</v>
      </c>
      <c r="H21" s="177">
        <v>20783.23</v>
      </c>
      <c r="I21" s="216">
        <v>0</v>
      </c>
      <c r="J21" s="209">
        <v>170000</v>
      </c>
      <c r="K21" s="164">
        <v>111330.18</v>
      </c>
      <c r="L21" s="181">
        <v>99807.506370000003</v>
      </c>
      <c r="M21" s="206">
        <v>0</v>
      </c>
      <c r="N21" s="220">
        <f>56647.44+188916.453</f>
        <v>245563.89300000001</v>
      </c>
      <c r="O21" s="164">
        <f>N21</f>
        <v>245563.89300000001</v>
      </c>
      <c r="P21" s="181">
        <f>52483.85316+175031.0937045</f>
        <v>227514.9468645</v>
      </c>
      <c r="Q21" s="211">
        <v>0</v>
      </c>
      <c r="R21" s="221">
        <f>269611.31+15659.32</f>
        <v>285270.63</v>
      </c>
      <c r="S21" s="196">
        <f>R21</f>
        <v>285270.63</v>
      </c>
      <c r="T21" s="197">
        <v>241706.53941500001</v>
      </c>
      <c r="U21" s="206">
        <v>0</v>
      </c>
      <c r="V21" s="209">
        <v>82709.63</v>
      </c>
      <c r="W21" s="164">
        <f>V21</f>
        <v>82709.63</v>
      </c>
      <c r="X21" s="181">
        <v>74397.312185000003</v>
      </c>
      <c r="Y21" s="211">
        <v>0</v>
      </c>
      <c r="Z21" s="209">
        <v>200000</v>
      </c>
      <c r="AA21" s="164">
        <v>363722.98</v>
      </c>
      <c r="AB21" s="181">
        <v>314074.79322999995</v>
      </c>
      <c r="AC21" s="211">
        <v>0</v>
      </c>
      <c r="AD21" s="209">
        <v>286540.05</v>
      </c>
      <c r="AE21" s="164">
        <v>286540.05</v>
      </c>
      <c r="AF21" s="181">
        <v>247112.75323500001</v>
      </c>
      <c r="AG21" s="211">
        <v>0</v>
      </c>
      <c r="AH21" s="209">
        <v>700000</v>
      </c>
      <c r="AI21" s="161">
        <v>781413.92999999993</v>
      </c>
      <c r="AJ21" s="211">
        <v>702881.83003499999</v>
      </c>
      <c r="AK21" s="211">
        <v>0</v>
      </c>
      <c r="AL21" s="209">
        <v>870000</v>
      </c>
      <c r="AM21" s="164">
        <f>654217.27+17018.32</f>
        <v>671235.59</v>
      </c>
      <c r="AN21" s="211">
        <v>603776.41320499999</v>
      </c>
      <c r="AO21" s="211">
        <v>0</v>
      </c>
      <c r="AP21" s="209">
        <v>350000</v>
      </c>
      <c r="AQ21" s="161">
        <v>736406.75</v>
      </c>
      <c r="AR21" s="180">
        <v>662397.87162500003</v>
      </c>
      <c r="AS21" s="213">
        <v>0</v>
      </c>
      <c r="AT21" s="209">
        <v>50000</v>
      </c>
      <c r="AU21" s="161">
        <v>205096.17</v>
      </c>
      <c r="AV21" s="181">
        <v>184484.00491500003</v>
      </c>
      <c r="AW21" s="211">
        <v>0</v>
      </c>
      <c r="AX21" s="209">
        <v>124724.07586031001</v>
      </c>
      <c r="AY21" s="209">
        <v>124724.07586031001</v>
      </c>
      <c r="AZ21" s="181">
        <v>112189.30996</v>
      </c>
      <c r="BA21" s="211">
        <v>0</v>
      </c>
      <c r="BB21" s="267">
        <f t="shared" si="0"/>
        <v>3917196.5088603096</v>
      </c>
    </row>
    <row r="22" spans="1:55 16376:16377" s="147" customFormat="1" ht="23.4" customHeight="1">
      <c r="A22" s="170">
        <v>184</v>
      </c>
      <c r="B22" s="239" t="s">
        <v>269</v>
      </c>
      <c r="C22" s="230"/>
      <c r="D22" s="240" t="s">
        <v>230</v>
      </c>
      <c r="E22" s="229" t="s">
        <v>231</v>
      </c>
      <c r="F22" s="220"/>
      <c r="G22" s="164"/>
      <c r="H22" s="177"/>
      <c r="I22" s="216">
        <v>0</v>
      </c>
      <c r="J22" s="209">
        <v>0</v>
      </c>
      <c r="K22" s="164">
        <v>0</v>
      </c>
      <c r="L22" s="181">
        <v>0</v>
      </c>
      <c r="M22" s="206">
        <v>0</v>
      </c>
      <c r="N22" s="220">
        <v>75784.38</v>
      </c>
      <c r="O22" s="164">
        <f>N22</f>
        <v>75784.38</v>
      </c>
      <c r="P22" s="181">
        <v>70214.228069999997</v>
      </c>
      <c r="Q22" s="211">
        <v>0</v>
      </c>
      <c r="R22" s="221">
        <v>162406.81200000001</v>
      </c>
      <c r="S22" s="196">
        <f>R22</f>
        <v>162406.81200000001</v>
      </c>
      <c r="T22" s="197">
        <v>150469.911318</v>
      </c>
      <c r="U22" s="206">
        <v>0</v>
      </c>
      <c r="V22" s="209">
        <v>193784.36000000002</v>
      </c>
      <c r="W22" s="164">
        <f>V22</f>
        <v>193784.36000000002</v>
      </c>
      <c r="X22" s="181">
        <v>167175.24309500004</v>
      </c>
      <c r="Y22" s="211">
        <v>0</v>
      </c>
      <c r="Z22" s="209">
        <v>200000</v>
      </c>
      <c r="AA22" s="164">
        <v>321415.27</v>
      </c>
      <c r="AB22" s="181">
        <v>274257.86271999998</v>
      </c>
      <c r="AC22" s="211">
        <v>0</v>
      </c>
      <c r="AD22" s="209">
        <v>233441.91</v>
      </c>
      <c r="AE22" s="164">
        <f>AD22</f>
        <v>233441.91</v>
      </c>
      <c r="AF22" s="181">
        <v>210961.45574792271</v>
      </c>
      <c r="AG22" s="211">
        <v>0</v>
      </c>
      <c r="AH22" s="209">
        <v>300000</v>
      </c>
      <c r="AI22" s="161">
        <v>494878.61999999994</v>
      </c>
      <c r="AJ22" s="211">
        <v>441952.44032999995</v>
      </c>
      <c r="AK22" s="211">
        <v>0</v>
      </c>
      <c r="AL22" s="209">
        <v>170000</v>
      </c>
      <c r="AM22" s="164">
        <v>260410.21</v>
      </c>
      <c r="AN22" s="211">
        <v>234238.98389500001</v>
      </c>
      <c r="AO22" s="211">
        <v>0</v>
      </c>
      <c r="AP22" s="209">
        <v>150000</v>
      </c>
      <c r="AQ22" s="161">
        <v>24804.57</v>
      </c>
      <c r="AR22" s="180">
        <v>22311.710715000001</v>
      </c>
      <c r="AS22" s="213">
        <v>0</v>
      </c>
      <c r="AT22" s="209">
        <v>50000</v>
      </c>
      <c r="AU22" s="161">
        <v>73645.81</v>
      </c>
      <c r="AV22" s="181">
        <v>66244.406094999998</v>
      </c>
      <c r="AW22" s="211">
        <v>0</v>
      </c>
      <c r="AX22" s="209">
        <v>24985.030577700003</v>
      </c>
      <c r="AY22" s="209">
        <v>24985.030577700003</v>
      </c>
      <c r="AZ22" s="181">
        <v>22997.065729067501</v>
      </c>
      <c r="BA22" s="211">
        <v>0</v>
      </c>
      <c r="BB22" s="267">
        <f t="shared" si="0"/>
        <v>1865556.9725776999</v>
      </c>
    </row>
    <row r="23" spans="1:55 16376:16377" s="147" customFormat="1" ht="23.25" customHeight="1" thickBot="1">
      <c r="A23" s="170">
        <v>185</v>
      </c>
      <c r="B23" s="239" t="s">
        <v>229</v>
      </c>
      <c r="C23" s="231"/>
      <c r="D23" s="240" t="s">
        <v>218</v>
      </c>
      <c r="E23" s="229" t="s">
        <v>223</v>
      </c>
      <c r="F23" s="220">
        <v>181250</v>
      </c>
      <c r="G23" s="164">
        <v>163670.23000000001</v>
      </c>
      <c r="H23" s="177">
        <v>151640.45809500001</v>
      </c>
      <c r="I23" s="216">
        <v>0</v>
      </c>
      <c r="J23" s="318" t="s">
        <v>233</v>
      </c>
      <c r="K23" s="317"/>
      <c r="L23" s="307" t="s">
        <v>233</v>
      </c>
      <c r="M23" s="319"/>
      <c r="N23" s="318" t="s">
        <v>233</v>
      </c>
      <c r="O23" s="317"/>
      <c r="P23" s="307" t="s">
        <v>233</v>
      </c>
      <c r="Q23" s="319"/>
      <c r="R23" s="318" t="s">
        <v>233</v>
      </c>
      <c r="S23" s="317"/>
      <c r="T23" s="307" t="s">
        <v>233</v>
      </c>
      <c r="U23" s="319"/>
      <c r="V23" s="318" t="s">
        <v>233</v>
      </c>
      <c r="W23" s="317"/>
      <c r="X23" s="307" t="s">
        <v>233</v>
      </c>
      <c r="Y23" s="319"/>
      <c r="Z23" s="318" t="s">
        <v>233</v>
      </c>
      <c r="AA23" s="317"/>
      <c r="AB23" s="307" t="s">
        <v>233</v>
      </c>
      <c r="AC23" s="319"/>
      <c r="AD23" s="318" t="s">
        <v>233</v>
      </c>
      <c r="AE23" s="317"/>
      <c r="AF23" s="307" t="s">
        <v>233</v>
      </c>
      <c r="AG23" s="319"/>
      <c r="AH23" s="318" t="s">
        <v>233</v>
      </c>
      <c r="AI23" s="317"/>
      <c r="AJ23" s="307" t="s">
        <v>233</v>
      </c>
      <c r="AK23" s="319"/>
      <c r="AL23" s="318" t="s">
        <v>233</v>
      </c>
      <c r="AM23" s="317"/>
      <c r="AN23" s="307" t="s">
        <v>233</v>
      </c>
      <c r="AO23" s="319"/>
      <c r="AP23" s="318" t="s">
        <v>233</v>
      </c>
      <c r="AQ23" s="317"/>
      <c r="AR23" s="307" t="s">
        <v>233</v>
      </c>
      <c r="AS23" s="319"/>
      <c r="AT23" s="318" t="s">
        <v>233</v>
      </c>
      <c r="AU23" s="317"/>
      <c r="AV23" s="307" t="s">
        <v>233</v>
      </c>
      <c r="AW23" s="319"/>
      <c r="AX23" s="318" t="s">
        <v>233</v>
      </c>
      <c r="AY23" s="317"/>
      <c r="AZ23" s="307" t="s">
        <v>233</v>
      </c>
      <c r="BA23" s="319"/>
      <c r="BB23" s="267">
        <f t="shared" si="0"/>
        <v>163670.23000000001</v>
      </c>
    </row>
    <row r="24" spans="1:55 16376:16377" s="147" customFormat="1" ht="23.25" customHeight="1">
      <c r="A24" s="170">
        <v>192</v>
      </c>
      <c r="B24" s="239" t="s">
        <v>260</v>
      </c>
      <c r="C24" s="232"/>
      <c r="D24" s="241" t="s">
        <v>219</v>
      </c>
      <c r="E24" s="229" t="s">
        <v>223</v>
      </c>
      <c r="F24" s="220">
        <v>0</v>
      </c>
      <c r="G24" s="164">
        <v>0</v>
      </c>
      <c r="H24" s="177">
        <v>0</v>
      </c>
      <c r="I24" s="216">
        <v>0</v>
      </c>
      <c r="J24" s="209">
        <v>0</v>
      </c>
      <c r="K24" s="164">
        <v>0</v>
      </c>
      <c r="L24" s="181">
        <v>0</v>
      </c>
      <c r="M24" s="206">
        <v>0</v>
      </c>
      <c r="N24" s="220">
        <v>0</v>
      </c>
      <c r="O24" s="164">
        <v>0</v>
      </c>
      <c r="P24" s="181">
        <v>0</v>
      </c>
      <c r="Q24" s="211">
        <v>0</v>
      </c>
      <c r="R24" s="209">
        <v>0</v>
      </c>
      <c r="S24" s="164">
        <v>0</v>
      </c>
      <c r="T24" s="180">
        <v>0</v>
      </c>
      <c r="U24" s="212">
        <v>0</v>
      </c>
      <c r="V24" s="209">
        <v>25000</v>
      </c>
      <c r="W24" s="164">
        <v>25843.38</v>
      </c>
      <c r="X24" s="181">
        <v>22419.132150000001</v>
      </c>
      <c r="Y24" s="211">
        <v>0</v>
      </c>
      <c r="Z24" s="209">
        <v>50000</v>
      </c>
      <c r="AA24" s="164">
        <v>101931.53</v>
      </c>
      <c r="AB24" s="181">
        <v>91534.513940000004</v>
      </c>
      <c r="AC24" s="211">
        <v>0</v>
      </c>
      <c r="AD24" s="209">
        <v>120000</v>
      </c>
      <c r="AE24" s="164">
        <v>143260.32999999999</v>
      </c>
      <c r="AF24" s="181">
        <v>128647.78</v>
      </c>
      <c r="AG24" s="211">
        <v>0</v>
      </c>
      <c r="AH24" s="209">
        <v>267000</v>
      </c>
      <c r="AI24" s="164">
        <v>284714.77</v>
      </c>
      <c r="AJ24" s="211">
        <v>255673.86346000002</v>
      </c>
      <c r="AK24" s="211">
        <v>0</v>
      </c>
      <c r="AL24" s="209">
        <v>300000</v>
      </c>
      <c r="AM24" s="164">
        <v>458325.24</v>
      </c>
      <c r="AN24" s="211">
        <v>411576.06552</v>
      </c>
      <c r="AO24" s="211">
        <v>0</v>
      </c>
      <c r="AP24" s="209">
        <v>400000</v>
      </c>
      <c r="AQ24" s="209">
        <v>177242.45</v>
      </c>
      <c r="AR24" s="209">
        <v>159163.72010000001</v>
      </c>
      <c r="AS24" s="209">
        <v>0</v>
      </c>
      <c r="AT24" s="209">
        <v>320000</v>
      </c>
      <c r="AU24" s="161">
        <v>385357.71</v>
      </c>
      <c r="AV24" s="181">
        <v>346051.22357999999</v>
      </c>
      <c r="AW24" s="211">
        <v>0</v>
      </c>
      <c r="AX24" s="209">
        <v>0</v>
      </c>
      <c r="AY24" s="209">
        <v>0</v>
      </c>
      <c r="AZ24" s="181">
        <v>0</v>
      </c>
      <c r="BA24" s="211">
        <v>0</v>
      </c>
      <c r="BB24" s="267">
        <f t="shared" si="0"/>
        <v>1576675.41</v>
      </c>
      <c r="XEV24" s="170"/>
      <c r="XEW24" s="171"/>
    </row>
    <row r="25" spans="1:55 16376:16377" s="147" customFormat="1" ht="28.5" customHeight="1" thickBot="1">
      <c r="A25" s="170">
        <v>196</v>
      </c>
      <c r="B25" s="239" t="s">
        <v>253</v>
      </c>
      <c r="C25" s="186"/>
      <c r="D25" s="240" t="s">
        <v>254</v>
      </c>
      <c r="E25" s="229" t="s">
        <v>223</v>
      </c>
      <c r="F25" s="220">
        <v>0</v>
      </c>
      <c r="G25" s="164">
        <v>0</v>
      </c>
      <c r="H25" s="177">
        <v>0</v>
      </c>
      <c r="I25" s="216">
        <v>0</v>
      </c>
      <c r="J25" s="209">
        <v>0</v>
      </c>
      <c r="K25" s="164">
        <v>0</v>
      </c>
      <c r="L25" s="181">
        <v>0</v>
      </c>
      <c r="M25" s="206">
        <v>0</v>
      </c>
      <c r="N25" s="220">
        <v>0</v>
      </c>
      <c r="O25" s="164">
        <v>0</v>
      </c>
      <c r="P25" s="181">
        <v>0</v>
      </c>
      <c r="Q25" s="211">
        <v>0</v>
      </c>
      <c r="R25" s="209">
        <v>0</v>
      </c>
      <c r="S25" s="164">
        <v>0</v>
      </c>
      <c r="T25" s="180">
        <v>0</v>
      </c>
      <c r="U25" s="212">
        <v>0</v>
      </c>
      <c r="V25" s="209">
        <f>83098.26/2</f>
        <v>41549.129999999997</v>
      </c>
      <c r="W25" s="164">
        <f>83098.26/2</f>
        <v>41549.129999999997</v>
      </c>
      <c r="X25" s="181">
        <v>37872.031994999998</v>
      </c>
      <c r="Y25" s="211">
        <v>0</v>
      </c>
      <c r="Z25" s="209">
        <v>30000</v>
      </c>
      <c r="AA25" s="164">
        <v>48928.1</v>
      </c>
      <c r="AB25" s="181">
        <v>44597.963149999996</v>
      </c>
      <c r="AC25" s="211">
        <v>0</v>
      </c>
      <c r="AD25" s="303" t="s">
        <v>233</v>
      </c>
      <c r="AE25" s="301"/>
      <c r="AF25" s="301" t="s">
        <v>233</v>
      </c>
      <c r="AG25" s="302"/>
      <c r="AH25" s="303" t="s">
        <v>233</v>
      </c>
      <c r="AI25" s="301"/>
      <c r="AJ25" s="301" t="s">
        <v>233</v>
      </c>
      <c r="AK25" s="302"/>
      <c r="AL25" s="303" t="s">
        <v>233</v>
      </c>
      <c r="AM25" s="301"/>
      <c r="AN25" s="301" t="s">
        <v>233</v>
      </c>
      <c r="AO25" s="302"/>
      <c r="AP25" s="303" t="s">
        <v>233</v>
      </c>
      <c r="AQ25" s="301"/>
      <c r="AR25" s="301" t="s">
        <v>233</v>
      </c>
      <c r="AS25" s="302"/>
      <c r="AT25" s="303" t="s">
        <v>233</v>
      </c>
      <c r="AU25" s="301"/>
      <c r="AV25" s="301" t="s">
        <v>233</v>
      </c>
      <c r="AW25" s="302"/>
      <c r="AX25" s="303" t="s">
        <v>233</v>
      </c>
      <c r="AY25" s="301"/>
      <c r="AZ25" s="301" t="s">
        <v>233</v>
      </c>
      <c r="BA25" s="302"/>
      <c r="BB25" s="267">
        <f t="shared" si="0"/>
        <v>90477.23</v>
      </c>
    </row>
    <row r="26" spans="1:55 16376:16377" s="147" customFormat="1" ht="28.5" customHeight="1" thickBot="1">
      <c r="A26" s="170">
        <v>199</v>
      </c>
      <c r="B26" s="239" t="s">
        <v>255</v>
      </c>
      <c r="C26" s="233" t="s">
        <v>254</v>
      </c>
      <c r="D26" s="240" t="s">
        <v>256</v>
      </c>
      <c r="E26" s="229" t="s">
        <v>223</v>
      </c>
      <c r="F26" s="220">
        <v>0</v>
      </c>
      <c r="G26" s="164">
        <v>0</v>
      </c>
      <c r="H26" s="177">
        <v>0</v>
      </c>
      <c r="I26" s="216">
        <v>0</v>
      </c>
      <c r="J26" s="209">
        <v>0</v>
      </c>
      <c r="K26" s="164">
        <v>0</v>
      </c>
      <c r="L26" s="181">
        <v>0</v>
      </c>
      <c r="M26" s="206">
        <v>0</v>
      </c>
      <c r="N26" s="220">
        <v>0</v>
      </c>
      <c r="O26" s="164">
        <v>0</v>
      </c>
      <c r="P26" s="181">
        <v>0</v>
      </c>
      <c r="Q26" s="211">
        <v>0</v>
      </c>
      <c r="R26" s="209">
        <v>0</v>
      </c>
      <c r="S26" s="164">
        <v>0</v>
      </c>
      <c r="T26" s="180">
        <v>0</v>
      </c>
      <c r="U26" s="212">
        <v>0</v>
      </c>
      <c r="V26" s="209">
        <v>0</v>
      </c>
      <c r="W26" s="164">
        <v>0</v>
      </c>
      <c r="X26" s="181">
        <v>0</v>
      </c>
      <c r="Y26" s="211">
        <v>0</v>
      </c>
      <c r="Z26" s="209">
        <v>32599.55</v>
      </c>
      <c r="AA26" s="164">
        <f>Z26</f>
        <v>32599.55</v>
      </c>
      <c r="AB26" s="181">
        <v>30203.483075</v>
      </c>
      <c r="AC26" s="211">
        <v>0</v>
      </c>
      <c r="AD26" s="209">
        <v>32599.55</v>
      </c>
      <c r="AE26" s="164">
        <v>32599.55</v>
      </c>
      <c r="AF26" s="180">
        <v>30284.98</v>
      </c>
      <c r="AG26" s="213">
        <v>0</v>
      </c>
      <c r="AH26" s="303" t="s">
        <v>233</v>
      </c>
      <c r="AI26" s="301"/>
      <c r="AJ26" s="301" t="s">
        <v>233</v>
      </c>
      <c r="AK26" s="302"/>
      <c r="AL26" s="303" t="s">
        <v>233</v>
      </c>
      <c r="AM26" s="301"/>
      <c r="AN26" s="301" t="s">
        <v>233</v>
      </c>
      <c r="AO26" s="302"/>
      <c r="AP26" s="303" t="s">
        <v>233</v>
      </c>
      <c r="AQ26" s="301"/>
      <c r="AR26" s="301" t="s">
        <v>233</v>
      </c>
      <c r="AS26" s="302"/>
      <c r="AT26" s="303" t="s">
        <v>233</v>
      </c>
      <c r="AU26" s="301"/>
      <c r="AV26" s="301" t="s">
        <v>233</v>
      </c>
      <c r="AW26" s="302"/>
      <c r="AX26" s="303" t="s">
        <v>233</v>
      </c>
      <c r="AY26" s="301"/>
      <c r="AZ26" s="301" t="s">
        <v>233</v>
      </c>
      <c r="BA26" s="302"/>
      <c r="BB26" s="267">
        <f t="shared" si="0"/>
        <v>65199.1</v>
      </c>
    </row>
    <row r="27" spans="1:55 16376:16377" s="147" customFormat="1" ht="28.5" customHeight="1">
      <c r="A27" s="170">
        <v>202</v>
      </c>
      <c r="B27" s="239" t="s">
        <v>263</v>
      </c>
      <c r="C27" s="234" t="s">
        <v>219</v>
      </c>
      <c r="D27" s="240" t="s">
        <v>219</v>
      </c>
      <c r="E27" s="229" t="s">
        <v>223</v>
      </c>
      <c r="F27" s="220">
        <v>0</v>
      </c>
      <c r="G27" s="164">
        <v>0</v>
      </c>
      <c r="H27" s="177">
        <v>0</v>
      </c>
      <c r="I27" s="216">
        <v>0</v>
      </c>
      <c r="J27" s="209">
        <v>0</v>
      </c>
      <c r="K27" s="164">
        <v>0</v>
      </c>
      <c r="L27" s="181">
        <v>0</v>
      </c>
      <c r="M27" s="206">
        <v>0</v>
      </c>
      <c r="N27" s="220">
        <v>0</v>
      </c>
      <c r="O27" s="164">
        <v>0</v>
      </c>
      <c r="P27" s="181">
        <v>0</v>
      </c>
      <c r="Q27" s="211">
        <v>0</v>
      </c>
      <c r="R27" s="209">
        <v>0</v>
      </c>
      <c r="S27" s="164">
        <v>0</v>
      </c>
      <c r="T27" s="180">
        <v>0</v>
      </c>
      <c r="U27" s="212">
        <v>0</v>
      </c>
      <c r="V27" s="209">
        <v>0</v>
      </c>
      <c r="W27" s="164">
        <v>0</v>
      </c>
      <c r="X27" s="181">
        <v>0</v>
      </c>
      <c r="Y27" s="211">
        <v>0</v>
      </c>
      <c r="Z27" s="209">
        <v>0</v>
      </c>
      <c r="AA27" s="164">
        <v>0</v>
      </c>
      <c r="AB27" s="181">
        <v>0</v>
      </c>
      <c r="AC27" s="211">
        <v>0</v>
      </c>
      <c r="AD27" s="209">
        <v>0</v>
      </c>
      <c r="AE27" s="164">
        <v>0</v>
      </c>
      <c r="AF27" s="180">
        <v>0</v>
      </c>
      <c r="AG27" s="213">
        <v>0</v>
      </c>
      <c r="AH27" s="209">
        <f>23612.89+300000+184275.21</f>
        <v>507888.1</v>
      </c>
      <c r="AI27" s="164">
        <f>24364.61+23612.89+484426.88</f>
        <v>532404.38</v>
      </c>
      <c r="AJ27" s="211">
        <f>21148.48+20495.99+420482.53</f>
        <v>462127</v>
      </c>
      <c r="AK27" s="211">
        <v>0</v>
      </c>
      <c r="AL27" s="209">
        <v>255000</v>
      </c>
      <c r="AM27" s="164">
        <v>284418.21999999997</v>
      </c>
      <c r="AN27" s="181">
        <v>246875.01495999997</v>
      </c>
      <c r="AO27" s="211">
        <v>0</v>
      </c>
      <c r="AP27" s="209">
        <v>315000</v>
      </c>
      <c r="AQ27" s="161">
        <v>330215.12</v>
      </c>
      <c r="AR27" s="181">
        <v>0</v>
      </c>
      <c r="AS27" s="211">
        <v>0</v>
      </c>
      <c r="AT27" s="209">
        <v>270000</v>
      </c>
      <c r="AU27" s="161">
        <v>94644.53</v>
      </c>
      <c r="AV27" s="181">
        <v>0</v>
      </c>
      <c r="AW27" s="211">
        <v>0</v>
      </c>
      <c r="AX27" s="209">
        <v>158300.35999999999</v>
      </c>
      <c r="AY27" s="209">
        <v>158300.35999999999</v>
      </c>
      <c r="AZ27" s="181">
        <v>135030.20707999999</v>
      </c>
      <c r="BA27" s="211">
        <v>0</v>
      </c>
      <c r="BB27" s="267">
        <f t="shared" si="0"/>
        <v>1399982.6099999999</v>
      </c>
      <c r="BC27" s="204"/>
    </row>
    <row r="28" spans="1:55 16376:16377" s="147" customFormat="1" ht="28.5" customHeight="1">
      <c r="A28" s="170">
        <v>208</v>
      </c>
      <c r="B28" s="239" t="s">
        <v>284</v>
      </c>
      <c r="C28" s="202"/>
      <c r="D28" s="240" t="s">
        <v>215</v>
      </c>
      <c r="E28" s="229" t="s">
        <v>231</v>
      </c>
      <c r="F28" s="220">
        <v>0</v>
      </c>
      <c r="G28" s="164">
        <v>0</v>
      </c>
      <c r="H28" s="177">
        <v>0</v>
      </c>
      <c r="I28" s="216">
        <v>0</v>
      </c>
      <c r="J28" s="209">
        <v>0</v>
      </c>
      <c r="K28" s="164">
        <v>0</v>
      </c>
      <c r="L28" s="181">
        <v>0</v>
      </c>
      <c r="M28" s="206">
        <v>0</v>
      </c>
      <c r="N28" s="220">
        <v>0</v>
      </c>
      <c r="O28" s="164">
        <v>0</v>
      </c>
      <c r="P28" s="181">
        <v>0</v>
      </c>
      <c r="Q28" s="211">
        <v>0</v>
      </c>
      <c r="R28" s="209">
        <v>0</v>
      </c>
      <c r="S28" s="164">
        <v>0</v>
      </c>
      <c r="T28" s="180">
        <v>0</v>
      </c>
      <c r="U28" s="212">
        <v>0</v>
      </c>
      <c r="V28" s="209">
        <v>0</v>
      </c>
      <c r="W28" s="164">
        <v>0</v>
      </c>
      <c r="X28" s="181">
        <v>0</v>
      </c>
      <c r="Y28" s="211">
        <v>0</v>
      </c>
      <c r="Z28" s="209">
        <v>0</v>
      </c>
      <c r="AA28" s="164">
        <v>0</v>
      </c>
      <c r="AB28" s="181">
        <v>0</v>
      </c>
      <c r="AC28" s="211">
        <v>0</v>
      </c>
      <c r="AD28" s="209">
        <v>0</v>
      </c>
      <c r="AE28" s="164">
        <v>0</v>
      </c>
      <c r="AF28" s="180">
        <v>0</v>
      </c>
      <c r="AG28" s="213">
        <v>0</v>
      </c>
      <c r="AH28" s="209">
        <v>0</v>
      </c>
      <c r="AI28" s="164">
        <v>0</v>
      </c>
      <c r="AJ28" s="211">
        <v>0</v>
      </c>
      <c r="AK28" s="211">
        <v>0</v>
      </c>
      <c r="AL28" s="209">
        <v>0</v>
      </c>
      <c r="AM28" s="164">
        <v>0</v>
      </c>
      <c r="AN28" s="181">
        <v>0</v>
      </c>
      <c r="AO28" s="211">
        <v>0</v>
      </c>
      <c r="AP28" s="209">
        <v>0</v>
      </c>
      <c r="AQ28" s="161">
        <v>0</v>
      </c>
      <c r="AR28" s="181">
        <v>0</v>
      </c>
      <c r="AS28" s="211">
        <v>0</v>
      </c>
      <c r="AT28" s="209">
        <v>170000</v>
      </c>
      <c r="AU28" s="161">
        <v>660882.41999999993</v>
      </c>
      <c r="AV28" s="181">
        <v>627973.36969333328</v>
      </c>
      <c r="AW28" s="211">
        <v>0</v>
      </c>
      <c r="AX28" s="209">
        <v>1600000</v>
      </c>
      <c r="AY28" s="209">
        <f>1626153.13+22132.3</f>
        <v>1648285.43</v>
      </c>
      <c r="AZ28" s="181">
        <f>1487451.82211+20244.54</f>
        <v>1507696.3621100001</v>
      </c>
      <c r="BA28" s="211">
        <v>0</v>
      </c>
      <c r="BB28" s="267">
        <f t="shared" si="0"/>
        <v>2309167.8499999996</v>
      </c>
      <c r="BC28" s="204"/>
    </row>
    <row r="29" spans="1:55 16376:16377" s="147" customFormat="1" ht="28.5" customHeight="1">
      <c r="A29" s="170">
        <v>205</v>
      </c>
      <c r="B29" s="239" t="s">
        <v>264</v>
      </c>
      <c r="C29" s="202"/>
      <c r="D29" s="240" t="s">
        <v>219</v>
      </c>
      <c r="E29" s="229" t="s">
        <v>223</v>
      </c>
      <c r="F29" s="220">
        <v>0</v>
      </c>
      <c r="G29" s="164">
        <v>0</v>
      </c>
      <c r="H29" s="177">
        <v>0</v>
      </c>
      <c r="I29" s="216">
        <v>0</v>
      </c>
      <c r="J29" s="209">
        <v>0</v>
      </c>
      <c r="K29" s="164">
        <v>0</v>
      </c>
      <c r="L29" s="181">
        <v>0</v>
      </c>
      <c r="M29" s="206">
        <v>0</v>
      </c>
      <c r="N29" s="220">
        <v>0</v>
      </c>
      <c r="O29" s="164">
        <v>0</v>
      </c>
      <c r="P29" s="181">
        <v>0</v>
      </c>
      <c r="Q29" s="211">
        <v>0</v>
      </c>
      <c r="R29" s="209">
        <v>0</v>
      </c>
      <c r="S29" s="164">
        <v>0</v>
      </c>
      <c r="T29" s="180">
        <v>0</v>
      </c>
      <c r="U29" s="212">
        <v>0</v>
      </c>
      <c r="V29" s="209">
        <v>0</v>
      </c>
      <c r="W29" s="164">
        <v>0</v>
      </c>
      <c r="X29" s="181">
        <v>0</v>
      </c>
      <c r="Y29" s="211">
        <v>0</v>
      </c>
      <c r="Z29" s="209">
        <v>0</v>
      </c>
      <c r="AA29" s="164">
        <v>0</v>
      </c>
      <c r="AB29" s="181">
        <v>0</v>
      </c>
      <c r="AC29" s="211">
        <v>0</v>
      </c>
      <c r="AD29" s="209">
        <v>0</v>
      </c>
      <c r="AE29" s="164">
        <v>0</v>
      </c>
      <c r="AF29" s="180">
        <v>0</v>
      </c>
      <c r="AG29" s="213">
        <v>0</v>
      </c>
      <c r="AH29" s="209">
        <v>130000</v>
      </c>
      <c r="AI29" s="164">
        <v>130000</v>
      </c>
      <c r="AJ29" s="181">
        <f>64855+55590</f>
        <v>120445</v>
      </c>
      <c r="AK29" s="211">
        <v>0</v>
      </c>
      <c r="AL29" s="209">
        <v>276023.18</v>
      </c>
      <c r="AM29" s="164">
        <v>276023.18</v>
      </c>
      <c r="AN29" s="181">
        <v>255735.47626999998</v>
      </c>
      <c r="AO29" s="211"/>
      <c r="AP29" s="209">
        <v>100000</v>
      </c>
      <c r="AQ29" s="164">
        <v>112391</v>
      </c>
      <c r="AR29" s="181">
        <v>104130.26149999999</v>
      </c>
      <c r="AS29" s="211">
        <v>0</v>
      </c>
      <c r="AT29" s="303" t="s">
        <v>233</v>
      </c>
      <c r="AU29" s="301"/>
      <c r="AV29" s="301" t="s">
        <v>233</v>
      </c>
      <c r="AW29" s="302"/>
      <c r="AX29" s="303" t="s">
        <v>233</v>
      </c>
      <c r="AY29" s="301"/>
      <c r="AZ29" s="301" t="s">
        <v>233</v>
      </c>
      <c r="BA29" s="302"/>
      <c r="BB29" s="267">
        <f t="shared" si="0"/>
        <v>518414.18</v>
      </c>
      <c r="BC29" s="204"/>
    </row>
    <row r="30" spans="1:55 16376:16377" s="147" customFormat="1" ht="28.5" customHeight="1">
      <c r="A30" s="170">
        <v>207</v>
      </c>
      <c r="B30" s="239" t="s">
        <v>282</v>
      </c>
      <c r="C30" s="202"/>
      <c r="D30" s="240" t="s">
        <v>219</v>
      </c>
      <c r="E30" s="229" t="s">
        <v>223</v>
      </c>
      <c r="F30" s="220">
        <v>0</v>
      </c>
      <c r="G30" s="164">
        <v>0</v>
      </c>
      <c r="H30" s="177">
        <v>0</v>
      </c>
      <c r="I30" s="216">
        <v>0</v>
      </c>
      <c r="J30" s="209">
        <v>0</v>
      </c>
      <c r="K30" s="164">
        <v>0</v>
      </c>
      <c r="L30" s="181">
        <v>0</v>
      </c>
      <c r="M30" s="206">
        <v>0</v>
      </c>
      <c r="N30" s="220">
        <v>0</v>
      </c>
      <c r="O30" s="164">
        <v>0</v>
      </c>
      <c r="P30" s="181">
        <v>0</v>
      </c>
      <c r="Q30" s="211">
        <v>0</v>
      </c>
      <c r="R30" s="209">
        <v>0</v>
      </c>
      <c r="S30" s="164">
        <v>0</v>
      </c>
      <c r="T30" s="180">
        <v>0</v>
      </c>
      <c r="U30" s="212">
        <v>0</v>
      </c>
      <c r="V30" s="209">
        <v>0</v>
      </c>
      <c r="W30" s="164">
        <v>0</v>
      </c>
      <c r="X30" s="181">
        <v>0</v>
      </c>
      <c r="Y30" s="211">
        <v>0</v>
      </c>
      <c r="Z30" s="209">
        <v>0</v>
      </c>
      <c r="AA30" s="164">
        <v>0</v>
      </c>
      <c r="AB30" s="181">
        <v>0</v>
      </c>
      <c r="AC30" s="211">
        <v>0</v>
      </c>
      <c r="AD30" s="209">
        <v>0</v>
      </c>
      <c r="AE30" s="164">
        <v>0</v>
      </c>
      <c r="AF30" s="180">
        <v>0</v>
      </c>
      <c r="AG30" s="213">
        <v>0</v>
      </c>
      <c r="AH30" s="209">
        <v>0</v>
      </c>
      <c r="AI30" s="164">
        <v>0</v>
      </c>
      <c r="AJ30" s="211">
        <v>0</v>
      </c>
      <c r="AK30" s="211">
        <v>0</v>
      </c>
      <c r="AL30" s="209">
        <v>0</v>
      </c>
      <c r="AM30" s="164">
        <v>48341.279999999999</v>
      </c>
      <c r="AN30" s="181">
        <v>44788.195919999998</v>
      </c>
      <c r="AO30" s="211"/>
      <c r="AP30" s="303" t="s">
        <v>233</v>
      </c>
      <c r="AQ30" s="301"/>
      <c r="AR30" s="301" t="s">
        <v>233</v>
      </c>
      <c r="AS30" s="302"/>
      <c r="AT30" s="303" t="s">
        <v>233</v>
      </c>
      <c r="AU30" s="301"/>
      <c r="AV30" s="301" t="s">
        <v>233</v>
      </c>
      <c r="AW30" s="302"/>
      <c r="AX30" s="303" t="s">
        <v>233</v>
      </c>
      <c r="AY30" s="301"/>
      <c r="AZ30" s="301" t="s">
        <v>233</v>
      </c>
      <c r="BA30" s="302"/>
      <c r="BB30" s="267">
        <f t="shared" si="0"/>
        <v>48341.279999999999</v>
      </c>
      <c r="BC30" s="204"/>
    </row>
    <row r="31" spans="1:55 16376:16377" s="147" customFormat="1" ht="28.5" customHeight="1" thickBot="1">
      <c r="A31" s="169">
        <v>210</v>
      </c>
      <c r="B31" s="186" t="s">
        <v>294</v>
      </c>
      <c r="C31" s="202"/>
      <c r="D31" s="240" t="s">
        <v>217</v>
      </c>
      <c r="E31" s="265"/>
      <c r="F31" s="220">
        <v>0</v>
      </c>
      <c r="G31" s="164">
        <v>0</v>
      </c>
      <c r="H31" s="177">
        <v>0</v>
      </c>
      <c r="I31" s="216">
        <v>0</v>
      </c>
      <c r="J31" s="209">
        <v>0</v>
      </c>
      <c r="K31" s="164">
        <v>0</v>
      </c>
      <c r="L31" s="181">
        <v>0</v>
      </c>
      <c r="M31" s="206">
        <v>0</v>
      </c>
      <c r="N31" s="220">
        <v>0</v>
      </c>
      <c r="O31" s="164">
        <v>0</v>
      </c>
      <c r="P31" s="181">
        <v>0</v>
      </c>
      <c r="Q31" s="211">
        <v>0</v>
      </c>
      <c r="R31" s="209">
        <v>0</v>
      </c>
      <c r="S31" s="164">
        <v>0</v>
      </c>
      <c r="T31" s="180">
        <v>0</v>
      </c>
      <c r="U31" s="212">
        <v>0</v>
      </c>
      <c r="V31" s="245">
        <v>0</v>
      </c>
      <c r="W31" s="165">
        <v>0</v>
      </c>
      <c r="X31" s="178">
        <v>0</v>
      </c>
      <c r="Y31" s="217">
        <v>0</v>
      </c>
      <c r="Z31" s="209">
        <v>0</v>
      </c>
      <c r="AA31" s="164">
        <v>0</v>
      </c>
      <c r="AB31" s="181">
        <v>0</v>
      </c>
      <c r="AC31" s="211">
        <v>0</v>
      </c>
      <c r="AD31" s="209">
        <v>0</v>
      </c>
      <c r="AE31" s="164">
        <v>0</v>
      </c>
      <c r="AF31" s="180">
        <v>0</v>
      </c>
      <c r="AG31" s="213">
        <v>0</v>
      </c>
      <c r="AH31" s="209">
        <v>0</v>
      </c>
      <c r="AI31" s="164">
        <v>0</v>
      </c>
      <c r="AJ31" s="178">
        <v>0</v>
      </c>
      <c r="AK31" s="217">
        <v>0</v>
      </c>
      <c r="AL31" s="245">
        <v>0</v>
      </c>
      <c r="AM31" s="165">
        <v>0</v>
      </c>
      <c r="AN31" s="181">
        <v>0</v>
      </c>
      <c r="AO31" s="211">
        <v>0</v>
      </c>
      <c r="AP31" s="245">
        <v>0</v>
      </c>
      <c r="AQ31" s="165">
        <v>130323.48</v>
      </c>
      <c r="AR31" s="178">
        <v>120744.70422</v>
      </c>
      <c r="AS31" s="217">
        <v>0</v>
      </c>
      <c r="AT31" s="245">
        <v>0</v>
      </c>
      <c r="AU31" s="161">
        <v>0</v>
      </c>
      <c r="AV31" s="181">
        <v>0</v>
      </c>
      <c r="AW31" s="211">
        <v>0</v>
      </c>
      <c r="AX31" s="245">
        <v>194420.22</v>
      </c>
      <c r="AY31" s="209">
        <v>194420.22</v>
      </c>
      <c r="AZ31" s="181">
        <v>180130.33382999999</v>
      </c>
      <c r="BA31" s="211">
        <v>0</v>
      </c>
      <c r="BB31" s="268">
        <f t="shared" si="0"/>
        <v>324743.7</v>
      </c>
      <c r="BC31" s="204"/>
    </row>
    <row r="32" spans="1:55 16376:16377" s="148" customFormat="1" ht="25.5" customHeight="1" thickBot="1">
      <c r="A32" s="153" t="s">
        <v>121</v>
      </c>
      <c r="B32" s="153"/>
      <c r="C32" s="154"/>
      <c r="D32" s="154"/>
      <c r="E32" s="154"/>
      <c r="F32" s="179">
        <f>SUBTOTAL(9,F5:F31)</f>
        <v>2376470.9500000002</v>
      </c>
      <c r="G32" s="179">
        <f t="shared" ref="G32:BA32" si="1">SUBTOTAL(9,G5:G31)</f>
        <v>2606222.1800000002</v>
      </c>
      <c r="H32" s="179">
        <f t="shared" si="1"/>
        <v>2294425.6837977949</v>
      </c>
      <c r="I32" s="179">
        <f t="shared" si="1"/>
        <v>0</v>
      </c>
      <c r="J32" s="179">
        <f t="shared" si="1"/>
        <v>3060200.42</v>
      </c>
      <c r="K32" s="179">
        <f t="shared" si="1"/>
        <v>2957357.8640999999</v>
      </c>
      <c r="L32" s="179">
        <f t="shared" si="1"/>
        <v>2618631.5213773004</v>
      </c>
      <c r="M32" s="179">
        <f t="shared" si="1"/>
        <v>0</v>
      </c>
      <c r="N32" s="179">
        <f t="shared" si="1"/>
        <v>3027227.4130000002</v>
      </c>
      <c r="O32" s="179">
        <f t="shared" si="1"/>
        <v>2755868.443</v>
      </c>
      <c r="P32" s="179">
        <f t="shared" si="1"/>
        <v>2431936.3061045003</v>
      </c>
      <c r="Q32" s="179">
        <f t="shared" si="1"/>
        <v>0</v>
      </c>
      <c r="R32" s="179">
        <f t="shared" si="1"/>
        <v>1970810.4419999998</v>
      </c>
      <c r="S32" s="179">
        <f t="shared" si="1"/>
        <v>2386674.817845</v>
      </c>
      <c r="T32" s="179">
        <f t="shared" si="1"/>
        <v>2113144.446624985</v>
      </c>
      <c r="U32" s="179">
        <f t="shared" si="1"/>
        <v>0</v>
      </c>
      <c r="V32" s="179">
        <f t="shared" si="1"/>
        <v>3218471.03</v>
      </c>
      <c r="W32" s="179">
        <f t="shared" si="1"/>
        <v>4050186.3099999996</v>
      </c>
      <c r="X32" s="179">
        <f t="shared" si="1"/>
        <v>3619082.3618950001</v>
      </c>
      <c r="Y32" s="179">
        <f t="shared" si="1"/>
        <v>0</v>
      </c>
      <c r="Z32" s="179">
        <f t="shared" si="1"/>
        <v>5309514.5599999996</v>
      </c>
      <c r="AA32" s="179">
        <f t="shared" si="1"/>
        <v>6261051.3027019985</v>
      </c>
      <c r="AB32" s="179">
        <f t="shared" si="1"/>
        <v>5606164.6950673554</v>
      </c>
      <c r="AC32" s="179">
        <f t="shared" si="1"/>
        <v>0</v>
      </c>
      <c r="AD32" s="179">
        <f t="shared" si="1"/>
        <v>2232581.5099999998</v>
      </c>
      <c r="AE32" s="179">
        <f t="shared" si="1"/>
        <v>2381803.4714001804</v>
      </c>
      <c r="AF32" s="179">
        <f t="shared" si="1"/>
        <v>2070011.842639335</v>
      </c>
      <c r="AG32" s="179">
        <f t="shared" si="1"/>
        <v>0</v>
      </c>
      <c r="AH32" s="179">
        <f t="shared" si="1"/>
        <v>3118327.04</v>
      </c>
      <c r="AI32" s="179">
        <f t="shared" si="1"/>
        <v>3365276.77</v>
      </c>
      <c r="AJ32" s="179">
        <f t="shared" si="1"/>
        <v>2985012.7044550003</v>
      </c>
      <c r="AK32" s="179">
        <f t="shared" si="1"/>
        <v>0</v>
      </c>
      <c r="AL32" s="179">
        <f t="shared" si="1"/>
        <v>3338523.18</v>
      </c>
      <c r="AM32" s="179">
        <f t="shared" si="1"/>
        <v>3587941.0009999992</v>
      </c>
      <c r="AN32" s="179">
        <f t="shared" si="1"/>
        <v>2895422.2370000007</v>
      </c>
      <c r="AO32" s="179">
        <f t="shared" si="1"/>
        <v>290590.13288799999</v>
      </c>
      <c r="AP32" s="179">
        <f t="shared" si="1"/>
        <v>2581500</v>
      </c>
      <c r="AQ32" s="179">
        <f t="shared" si="1"/>
        <v>3450671.4763230002</v>
      </c>
      <c r="AR32" s="179">
        <f t="shared" si="1"/>
        <v>2799026.031346634</v>
      </c>
      <c r="AS32" s="179">
        <f t="shared" si="1"/>
        <v>0</v>
      </c>
      <c r="AT32" s="179">
        <f t="shared" si="1"/>
        <v>2680000</v>
      </c>
      <c r="AU32" s="179">
        <f t="shared" si="1"/>
        <v>3995147.6299999994</v>
      </c>
      <c r="AV32" s="179">
        <f t="shared" si="1"/>
        <v>3556729.0458833328</v>
      </c>
      <c r="AW32" s="179">
        <f t="shared" si="1"/>
        <v>0</v>
      </c>
      <c r="AX32" s="179">
        <f t="shared" si="1"/>
        <v>2611699.1364380103</v>
      </c>
      <c r="AY32" s="179">
        <f t="shared" si="1"/>
        <v>2651715.8472940102</v>
      </c>
      <c r="AZ32" s="179">
        <f t="shared" si="1"/>
        <v>2396974.6423206357</v>
      </c>
      <c r="BA32" s="179">
        <f t="shared" si="1"/>
        <v>0</v>
      </c>
      <c r="BB32" s="179">
        <f>SUM(BB8:BB31)</f>
        <v>37008094.293664195</v>
      </c>
      <c r="BC32" s="205"/>
    </row>
    <row r="33" spans="1:55" s="190" customFormat="1" ht="14.25" customHeight="1">
      <c r="A33" s="187"/>
      <c r="B33" s="188"/>
      <c r="C33" s="144"/>
      <c r="D33" s="187"/>
      <c r="E33" s="187"/>
      <c r="F33" s="189"/>
      <c r="G33" s="189"/>
      <c r="H33" s="189"/>
      <c r="I33" s="189"/>
      <c r="J33" s="189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87"/>
      <c r="BC33" s="190" t="s">
        <v>265</v>
      </c>
    </row>
    <row r="34" spans="1:55" ht="15" customHeight="1">
      <c r="F34" s="183"/>
      <c r="G34" s="183"/>
      <c r="H34" s="183"/>
      <c r="I34" s="183"/>
      <c r="J34" s="183"/>
    </row>
    <row r="35" spans="1:55" s="194" customFormat="1" ht="15" customHeight="1">
      <c r="A35" s="191"/>
      <c r="B35" s="191"/>
      <c r="C35" s="1"/>
      <c r="D35" s="191"/>
      <c r="E35" s="191"/>
      <c r="F35" s="193"/>
      <c r="G35" s="192"/>
      <c r="H35" s="192"/>
      <c r="I35" s="192"/>
      <c r="J35" s="192"/>
      <c r="V35" s="200"/>
      <c r="W35" s="201"/>
      <c r="X35" s="201"/>
      <c r="AD35" s="51"/>
      <c r="AE35" s="51"/>
      <c r="AF35" s="51"/>
      <c r="AG35" s="203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191"/>
    </row>
    <row r="36" spans="1:55" s="194" customFormat="1" ht="15" customHeight="1">
      <c r="A36" s="191"/>
      <c r="B36" s="191"/>
      <c r="C36" s="1"/>
      <c r="D36" s="191"/>
      <c r="E36" s="191"/>
      <c r="F36" s="195"/>
      <c r="G36" s="195"/>
      <c r="H36" s="195"/>
      <c r="I36" s="195"/>
      <c r="J36" s="195"/>
      <c r="Y36" s="198"/>
      <c r="Z36" s="199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191"/>
    </row>
    <row r="37" spans="1:55" s="194" customFormat="1" ht="15" customHeight="1">
      <c r="A37" s="191"/>
      <c r="B37" s="191"/>
      <c r="C37" s="1"/>
      <c r="D37" s="191"/>
      <c r="E37" s="191"/>
      <c r="F37" s="195"/>
      <c r="G37" s="195"/>
      <c r="H37" s="195"/>
      <c r="I37" s="195"/>
      <c r="J37" s="195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191"/>
    </row>
    <row r="38" spans="1:55">
      <c r="I38" s="182"/>
    </row>
  </sheetData>
  <sortState xmlns:xlrd2="http://schemas.microsoft.com/office/spreadsheetml/2017/richdata2" ref="A7:E16">
    <sortCondition ref="A6:A16"/>
  </sortState>
  <mergeCells count="192">
    <mergeCell ref="AN15:AO15"/>
    <mergeCell ref="AP13:AQ13"/>
    <mergeCell ref="AR13:AS13"/>
    <mergeCell ref="AP14:AQ14"/>
    <mergeCell ref="AR14:AS14"/>
    <mergeCell ref="AP15:AQ15"/>
    <mergeCell ref="AR15:AS15"/>
    <mergeCell ref="AV14:AW14"/>
    <mergeCell ref="AT15:AU15"/>
    <mergeCell ref="AV15:AW15"/>
    <mergeCell ref="AX13:AY13"/>
    <mergeCell ref="AZ13:BA13"/>
    <mergeCell ref="AX14:AY14"/>
    <mergeCell ref="AZ14:BA14"/>
    <mergeCell ref="AT18:AU18"/>
    <mergeCell ref="AT19:AU19"/>
    <mergeCell ref="AV18:AW18"/>
    <mergeCell ref="AV19:AW19"/>
    <mergeCell ref="AX18:AY18"/>
    <mergeCell ref="AX19:AY19"/>
    <mergeCell ref="AZ18:BA18"/>
    <mergeCell ref="AZ19:BA19"/>
    <mergeCell ref="AX15:AY15"/>
    <mergeCell ref="AZ15:BA15"/>
    <mergeCell ref="AT13:AU13"/>
    <mergeCell ref="AV13:AW13"/>
    <mergeCell ref="AT14:AU14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T23:AU23"/>
    <mergeCell ref="AV23:AW23"/>
    <mergeCell ref="AZ30:BA30"/>
    <mergeCell ref="AT25:AU25"/>
    <mergeCell ref="AV25:AW25"/>
    <mergeCell ref="AT26:AU26"/>
    <mergeCell ref="AV26:AW26"/>
    <mergeCell ref="AX25:AY25"/>
    <mergeCell ref="AZ25:BA25"/>
    <mergeCell ref="AX26:AY26"/>
    <mergeCell ref="AZ26:BA26"/>
    <mergeCell ref="AT29:AU29"/>
    <mergeCell ref="AV29:AW29"/>
    <mergeCell ref="AX29:AY29"/>
    <mergeCell ref="AZ29:BA29"/>
    <mergeCell ref="AX23:AY23"/>
    <mergeCell ref="AZ23:BA23"/>
    <mergeCell ref="AT10:AU10"/>
    <mergeCell ref="AX10:AY10"/>
    <mergeCell ref="AP7:AQ7"/>
    <mergeCell ref="AR6:AS6"/>
    <mergeCell ref="AR7:AS7"/>
    <mergeCell ref="AP4:AS4"/>
    <mergeCell ref="AP6:AQ6"/>
    <mergeCell ref="AT30:AU30"/>
    <mergeCell ref="AV30:AW30"/>
    <mergeCell ref="AX30:AY30"/>
    <mergeCell ref="AT4:AW4"/>
    <mergeCell ref="AT6:AU6"/>
    <mergeCell ref="AV6:AW6"/>
    <mergeCell ref="AT7:AU7"/>
    <mergeCell ref="AV7:AW7"/>
    <mergeCell ref="AT9:AU9"/>
    <mergeCell ref="AV9:AW9"/>
    <mergeCell ref="AX4:BA4"/>
    <mergeCell ref="AX6:AY6"/>
    <mergeCell ref="AZ6:BA6"/>
    <mergeCell ref="AX7:AY7"/>
    <mergeCell ref="AZ7:BA7"/>
    <mergeCell ref="AX9:AY9"/>
    <mergeCell ref="AZ9:BA9"/>
    <mergeCell ref="AP10:AQ10"/>
    <mergeCell ref="AP9:AQ9"/>
    <mergeCell ref="AR9:AS9"/>
    <mergeCell ref="AR25:AS25"/>
    <mergeCell ref="AN25:AO25"/>
    <mergeCell ref="AP30:AQ30"/>
    <mergeCell ref="AR30:AS30"/>
    <mergeCell ref="AR26:AS26"/>
    <mergeCell ref="AL9:AM9"/>
    <mergeCell ref="AN9:AO9"/>
    <mergeCell ref="AN26:AO26"/>
    <mergeCell ref="AL18:AM18"/>
    <mergeCell ref="AL19:AM19"/>
    <mergeCell ref="AN18:AO18"/>
    <mergeCell ref="AN19:AO19"/>
    <mergeCell ref="AP18:AQ18"/>
    <mergeCell ref="AP19:AQ19"/>
    <mergeCell ref="AR18:AS18"/>
    <mergeCell ref="AR19:AS19"/>
    <mergeCell ref="AL23:AM23"/>
    <mergeCell ref="AN23:AO23"/>
    <mergeCell ref="AP23:AQ23"/>
    <mergeCell ref="AR23:AS23"/>
    <mergeCell ref="AL13:AM13"/>
    <mergeCell ref="F1:BB1"/>
    <mergeCell ref="J4:M4"/>
    <mergeCell ref="F4:I4"/>
    <mergeCell ref="N4:Q4"/>
    <mergeCell ref="R4:U4"/>
    <mergeCell ref="Z4:AC4"/>
    <mergeCell ref="V4:Y4"/>
    <mergeCell ref="AD4:AG4"/>
    <mergeCell ref="AH4:AK4"/>
    <mergeCell ref="AL4:AO4"/>
    <mergeCell ref="AL6:AM6"/>
    <mergeCell ref="AL7:AM7"/>
    <mergeCell ref="AN6:AO6"/>
    <mergeCell ref="AN7:AO7"/>
    <mergeCell ref="AF23:AG23"/>
    <mergeCell ref="Z15:AA15"/>
    <mergeCell ref="AB13:AC13"/>
    <mergeCell ref="AB14:AC14"/>
    <mergeCell ref="AD15:AE15"/>
    <mergeCell ref="AB15:AC15"/>
    <mergeCell ref="AJ7:AK7"/>
    <mergeCell ref="AJ18:AK18"/>
    <mergeCell ref="AD13:AE13"/>
    <mergeCell ref="AD14:AE14"/>
    <mergeCell ref="AL10:AM10"/>
    <mergeCell ref="AB23:AC23"/>
    <mergeCell ref="AF13:AG13"/>
    <mergeCell ref="AF14:AG14"/>
    <mergeCell ref="AF15:AG15"/>
    <mergeCell ref="AF18:AG18"/>
    <mergeCell ref="AN13:AO13"/>
    <mergeCell ref="AL14:AM14"/>
    <mergeCell ref="AN14:AO14"/>
    <mergeCell ref="AL15:AM15"/>
    <mergeCell ref="AL25:AM25"/>
    <mergeCell ref="AL26:AM26"/>
    <mergeCell ref="AP25:AQ25"/>
    <mergeCell ref="AP26:AQ26"/>
    <mergeCell ref="AD19:AE19"/>
    <mergeCell ref="AH23:AI23"/>
    <mergeCell ref="AH19:AI19"/>
    <mergeCell ref="AJ23:AK23"/>
    <mergeCell ref="AD25:AE25"/>
    <mergeCell ref="AF25:AG25"/>
    <mergeCell ref="AH25:AI25"/>
    <mergeCell ref="AH26:AI26"/>
    <mergeCell ref="AJ25:AK25"/>
    <mergeCell ref="AJ26:AK26"/>
    <mergeCell ref="AD23:AE23"/>
    <mergeCell ref="AF19:AG19"/>
    <mergeCell ref="T19:U19"/>
    <mergeCell ref="V19:W19"/>
    <mergeCell ref="X19:Y19"/>
    <mergeCell ref="Z19:AA19"/>
    <mergeCell ref="AB19:AC19"/>
    <mergeCell ref="A4:A5"/>
    <mergeCell ref="B4:B5"/>
    <mergeCell ref="D4:D5"/>
    <mergeCell ref="E4:E5"/>
    <mergeCell ref="C4:C5"/>
    <mergeCell ref="J19:K19"/>
    <mergeCell ref="L19:M19"/>
    <mergeCell ref="N19:O19"/>
    <mergeCell ref="P19:Q19"/>
    <mergeCell ref="R19:S19"/>
    <mergeCell ref="P18:Q18"/>
    <mergeCell ref="R18:S18"/>
    <mergeCell ref="T18:U18"/>
    <mergeCell ref="V18:W18"/>
    <mergeCell ref="Z13:AA13"/>
    <mergeCell ref="Z14:AA14"/>
    <mergeCell ref="N18:O18"/>
    <mergeCell ref="X18:Y18"/>
    <mergeCell ref="Z18:AA18"/>
    <mergeCell ref="AB18:AC18"/>
    <mergeCell ref="AD18:AE18"/>
    <mergeCell ref="AD6:AE6"/>
    <mergeCell ref="AD7:AE7"/>
    <mergeCell ref="AH15:AI15"/>
    <mergeCell ref="AJ13:AK13"/>
    <mergeCell ref="AJ14:AK14"/>
    <mergeCell ref="AJ15:AK15"/>
    <mergeCell ref="AJ19:AK19"/>
    <mergeCell ref="AF6:AG6"/>
    <mergeCell ref="AF7:AG7"/>
    <mergeCell ref="AH6:AI6"/>
    <mergeCell ref="AH7:AI7"/>
    <mergeCell ref="AH14:AI14"/>
    <mergeCell ref="AJ6:AK6"/>
    <mergeCell ref="AH13:AI13"/>
    <mergeCell ref="AH18:AI18"/>
  </mergeCells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1" manualBreakCount="1">
    <brk id="9" max="4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1"/>
  <sheetViews>
    <sheetView workbookViewId="0">
      <selection activeCell="C9" sqref="C9"/>
    </sheetView>
  </sheetViews>
  <sheetFormatPr defaultRowHeight="14.4"/>
  <cols>
    <col min="3" max="3" width="88.109375" customWidth="1"/>
  </cols>
  <sheetData>
    <row r="1" spans="2:3" ht="14.7" customHeight="1"/>
    <row r="2" spans="2:3" ht="14.7" customHeight="1">
      <c r="B2" s="140">
        <v>100</v>
      </c>
      <c r="C2" s="141" t="s">
        <v>197</v>
      </c>
    </row>
    <row r="3" spans="2:3" ht="14.7" customHeight="1">
      <c r="B3" s="140">
        <v>100</v>
      </c>
      <c r="C3" s="141" t="s">
        <v>198</v>
      </c>
    </row>
    <row r="4" spans="2:3" ht="14.7" customHeight="1">
      <c r="B4" s="140">
        <v>106</v>
      </c>
      <c r="C4" s="141" t="s">
        <v>196</v>
      </c>
    </row>
    <row r="5" spans="2:3" ht="14.7" customHeight="1">
      <c r="B5" s="140">
        <v>107</v>
      </c>
      <c r="C5" s="141" t="s">
        <v>199</v>
      </c>
    </row>
    <row r="6" spans="2:3" ht="14.7" customHeight="1">
      <c r="B6" s="140">
        <v>107</v>
      </c>
      <c r="C6" s="141" t="s">
        <v>200</v>
      </c>
    </row>
    <row r="7" spans="2:3" ht="14.7" customHeight="1">
      <c r="B7" s="140">
        <v>115</v>
      </c>
      <c r="C7" s="142" t="s">
        <v>195</v>
      </c>
    </row>
    <row r="8" spans="2:3" ht="100.2" customHeight="1">
      <c r="B8" s="140"/>
      <c r="C8" s="141"/>
    </row>
    <row r="9" spans="2:3" ht="14.7" customHeight="1">
      <c r="B9" s="140">
        <v>153</v>
      </c>
      <c r="C9" s="141" t="s">
        <v>192</v>
      </c>
    </row>
    <row r="10" spans="2:3" ht="14.7" customHeight="1">
      <c r="B10" s="140">
        <v>159</v>
      </c>
      <c r="C10" s="141" t="s">
        <v>193</v>
      </c>
    </row>
    <row r="11" spans="2:3" ht="14.7" customHeight="1">
      <c r="B11" s="140">
        <v>162</v>
      </c>
      <c r="C11" s="142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4"/>
  <sheetViews>
    <sheetView topLeftCell="E8" zoomScale="70" zoomScaleNormal="70" workbookViewId="0">
      <selection activeCell="N13" sqref="N13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45" t="s">
        <v>126</v>
      </c>
      <c r="H5" s="346"/>
      <c r="I5" s="345" t="s">
        <v>131</v>
      </c>
      <c r="J5" s="346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44835</v>
      </c>
      <c r="E7" s="79">
        <v>146659.79</v>
      </c>
      <c r="F7" s="100" t="s">
        <v>133</v>
      </c>
      <c r="G7" s="78" t="s">
        <v>136</v>
      </c>
      <c r="H7" s="97" t="s">
        <v>156</v>
      </c>
      <c r="I7" s="78" t="s">
        <v>150</v>
      </c>
      <c r="J7" s="97" t="s">
        <v>163</v>
      </c>
      <c r="K7" s="107" t="s">
        <v>164</v>
      </c>
      <c r="L7" s="107" t="s">
        <v>170</v>
      </c>
      <c r="M7" s="109" t="s">
        <v>175</v>
      </c>
    </row>
    <row r="8" spans="1:13" ht="72.75" customHeight="1">
      <c r="A8" s="88">
        <v>100</v>
      </c>
      <c r="B8" s="90" t="s">
        <v>5</v>
      </c>
      <c r="C8" s="90" t="s">
        <v>140</v>
      </c>
      <c r="D8" s="89">
        <v>44835</v>
      </c>
      <c r="E8" s="80">
        <v>10328.969999999999</v>
      </c>
      <c r="F8" s="101" t="s">
        <v>148</v>
      </c>
      <c r="G8" s="77" t="s">
        <v>134</v>
      </c>
      <c r="H8" s="98" t="s">
        <v>158</v>
      </c>
      <c r="I8" s="77" t="s">
        <v>159</v>
      </c>
      <c r="J8" s="83" t="s">
        <v>155</v>
      </c>
      <c r="K8" s="106" t="s">
        <v>161</v>
      </c>
      <c r="L8" s="106" t="s">
        <v>166</v>
      </c>
      <c r="M8" s="106" t="s">
        <v>171</v>
      </c>
    </row>
    <row r="9" spans="1:13" ht="65.25" customHeight="1">
      <c r="A9" s="88">
        <v>100</v>
      </c>
      <c r="B9" s="90" t="s">
        <v>6</v>
      </c>
      <c r="C9" s="90" t="s">
        <v>141</v>
      </c>
      <c r="D9" s="89">
        <v>44835</v>
      </c>
      <c r="E9" s="80">
        <v>23372.36</v>
      </c>
      <c r="F9" s="101" t="s">
        <v>148</v>
      </c>
      <c r="G9" s="77" t="s">
        <v>134</v>
      </c>
      <c r="H9" s="98" t="s">
        <v>158</v>
      </c>
      <c r="I9" s="77" t="s">
        <v>160</v>
      </c>
      <c r="J9" s="105" t="s">
        <v>169</v>
      </c>
      <c r="K9" s="106" t="s">
        <v>173</v>
      </c>
      <c r="L9" s="106" t="s">
        <v>174</v>
      </c>
      <c r="M9" s="116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v>44835</v>
      </c>
      <c r="E10" s="80">
        <v>24766.39</v>
      </c>
      <c r="F10" s="101" t="s">
        <v>147</v>
      </c>
      <c r="G10" s="77" t="s">
        <v>138</v>
      </c>
      <c r="H10" s="98" t="s">
        <v>162</v>
      </c>
      <c r="I10" s="77" t="s">
        <v>165</v>
      </c>
      <c r="J10" s="83" t="s">
        <v>167</v>
      </c>
      <c r="K10" s="106" t="s">
        <v>172</v>
      </c>
      <c r="L10" s="106" t="s">
        <v>177</v>
      </c>
      <c r="M10" s="116" t="s">
        <v>180</v>
      </c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v>44835</v>
      </c>
      <c r="E11" s="80">
        <v>159994.56</v>
      </c>
      <c r="F11" s="101" t="s">
        <v>133</v>
      </c>
      <c r="G11" s="77" t="s">
        <v>146</v>
      </c>
      <c r="H11" s="98" t="s">
        <v>151</v>
      </c>
      <c r="I11" s="77" t="s">
        <v>153</v>
      </c>
      <c r="J11" s="83" t="s">
        <v>152</v>
      </c>
      <c r="K11" s="105" t="s">
        <v>154</v>
      </c>
      <c r="L11" s="106" t="s">
        <v>168</v>
      </c>
      <c r="M11" s="109" t="s">
        <v>176</v>
      </c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v>44835</v>
      </c>
      <c r="E12" s="80">
        <v>0</v>
      </c>
      <c r="F12" s="101" t="s">
        <v>132</v>
      </c>
      <c r="G12" s="77"/>
      <c r="H12" s="98" t="s">
        <v>132</v>
      </c>
      <c r="I12" s="77" t="s">
        <v>157</v>
      </c>
      <c r="J12" s="105" t="s">
        <v>132</v>
      </c>
      <c r="K12" s="106" t="s">
        <v>132</v>
      </c>
      <c r="L12" s="106" t="s">
        <v>132</v>
      </c>
      <c r="M12" s="106" t="s">
        <v>132</v>
      </c>
    </row>
    <row r="13" spans="1:13" ht="409.5" customHeight="1" thickBot="1">
      <c r="A13" s="88">
        <v>115</v>
      </c>
      <c r="B13" s="90" t="s">
        <v>2</v>
      </c>
      <c r="C13" s="90" t="s">
        <v>145</v>
      </c>
      <c r="D13" s="89">
        <v>44835</v>
      </c>
      <c r="E13" s="80">
        <v>205795.11</v>
      </c>
      <c r="F13" s="102" t="s">
        <v>137</v>
      </c>
      <c r="G13" s="82" t="s">
        <v>135</v>
      </c>
      <c r="H13" s="99" t="s">
        <v>149</v>
      </c>
      <c r="I13" s="82"/>
      <c r="J13" s="108" t="s">
        <v>178</v>
      </c>
      <c r="K13" s="115" t="s">
        <v>179</v>
      </c>
      <c r="L13" s="115" t="s">
        <v>181</v>
      </c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570917.17999999993</v>
      </c>
      <c r="F14" s="30"/>
      <c r="G14" s="347"/>
      <c r="H14" s="348"/>
      <c r="I14" s="30"/>
      <c r="J14" s="30"/>
      <c r="K14" s="30"/>
      <c r="L14" s="30"/>
      <c r="M14" s="30"/>
    </row>
  </sheetData>
  <autoFilter ref="A6:M13" xr:uid="{00000000-0009-0000-0000-000004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4"/>
  <sheetViews>
    <sheetView topLeftCell="G1" zoomScale="70" zoomScaleNormal="70" workbookViewId="0">
      <selection activeCell="H7" sqref="H7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45" t="s">
        <v>126</v>
      </c>
      <c r="H5" s="346"/>
      <c r="I5" s="345" t="s">
        <v>131</v>
      </c>
      <c r="J5" s="346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44866</v>
      </c>
      <c r="E7" s="79">
        <f>'RESUMO-2022'!O7</f>
        <v>324936.03999999998</v>
      </c>
      <c r="F7" s="100" t="s">
        <v>182</v>
      </c>
      <c r="G7" s="78" t="s">
        <v>136</v>
      </c>
      <c r="H7" s="97" t="s">
        <v>183</v>
      </c>
      <c r="I7" s="117" t="s">
        <v>150</v>
      </c>
      <c r="J7" s="118"/>
      <c r="K7" s="119"/>
      <c r="L7" s="119"/>
      <c r="M7" s="120"/>
    </row>
    <row r="8" spans="1:13" ht="72.75" customHeight="1">
      <c r="A8" s="88">
        <v>100</v>
      </c>
      <c r="B8" s="90" t="s">
        <v>5</v>
      </c>
      <c r="C8" s="90" t="s">
        <v>140</v>
      </c>
      <c r="D8" s="89">
        <f t="shared" ref="D8:D13" si="0">D7</f>
        <v>44866</v>
      </c>
      <c r="E8" s="80">
        <f>'RESUMO-2022'!O8</f>
        <v>8958.6299999999992</v>
      </c>
      <c r="F8" s="101" t="s">
        <v>184</v>
      </c>
      <c r="G8" s="77" t="s">
        <v>134</v>
      </c>
      <c r="H8" s="98" t="s">
        <v>183</v>
      </c>
      <c r="I8" s="121" t="s">
        <v>159</v>
      </c>
      <c r="J8" s="122"/>
      <c r="K8" s="123"/>
      <c r="L8" s="123"/>
      <c r="M8" s="123"/>
    </row>
    <row r="9" spans="1:13" ht="65.25" customHeight="1">
      <c r="A9" s="88">
        <v>100</v>
      </c>
      <c r="B9" s="90" t="s">
        <v>6</v>
      </c>
      <c r="C9" s="90" t="s">
        <v>141</v>
      </c>
      <c r="D9" s="89">
        <f t="shared" si="0"/>
        <v>44866</v>
      </c>
      <c r="E9" s="80">
        <f>'RESUMO-2022'!O9</f>
        <v>44075.95</v>
      </c>
      <c r="F9" s="101" t="s">
        <v>184</v>
      </c>
      <c r="G9" s="77" t="s">
        <v>134</v>
      </c>
      <c r="H9" s="98" t="s">
        <v>183</v>
      </c>
      <c r="I9" s="121" t="s">
        <v>160</v>
      </c>
      <c r="J9" s="124"/>
      <c r="K9" s="123"/>
      <c r="L9" s="123"/>
      <c r="M9" s="84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f t="shared" si="0"/>
        <v>44866</v>
      </c>
      <c r="E10" s="80">
        <f>'RESUMO-2022'!O10</f>
        <v>0</v>
      </c>
      <c r="F10" s="101" t="s">
        <v>185</v>
      </c>
      <c r="G10" s="77" t="s">
        <v>138</v>
      </c>
      <c r="H10" s="98"/>
      <c r="I10" s="77" t="s">
        <v>165</v>
      </c>
      <c r="J10" s="83"/>
      <c r="K10" s="106"/>
      <c r="L10" s="106"/>
      <c r="M10" s="116"/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f t="shared" si="0"/>
        <v>44866</v>
      </c>
      <c r="E11" s="80">
        <f>'RESUMO-2022'!O11</f>
        <v>426738.13</v>
      </c>
      <c r="F11" s="101" t="s">
        <v>186</v>
      </c>
      <c r="G11" s="77" t="s">
        <v>146</v>
      </c>
      <c r="H11" s="125"/>
      <c r="I11" s="121" t="s">
        <v>153</v>
      </c>
      <c r="J11" s="122"/>
      <c r="K11" s="124"/>
      <c r="L11" s="123"/>
      <c r="M11" s="120"/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f t="shared" si="0"/>
        <v>44866</v>
      </c>
      <c r="E12" s="80">
        <f>'RESUMO-2022'!O12</f>
        <v>195428.81</v>
      </c>
      <c r="F12" s="101" t="s">
        <v>187</v>
      </c>
      <c r="G12" s="77" t="s">
        <v>188</v>
      </c>
      <c r="H12" s="125"/>
      <c r="I12" s="121" t="s">
        <v>157</v>
      </c>
      <c r="J12" s="124"/>
      <c r="K12" s="123"/>
      <c r="L12" s="123"/>
      <c r="M12" s="123"/>
    </row>
    <row r="13" spans="1:13" ht="80.25" customHeight="1" thickBot="1">
      <c r="A13" s="88">
        <v>115</v>
      </c>
      <c r="B13" s="90" t="s">
        <v>2</v>
      </c>
      <c r="C13" s="90" t="s">
        <v>145</v>
      </c>
      <c r="D13" s="89">
        <f t="shared" si="0"/>
        <v>44866</v>
      </c>
      <c r="E13" s="131"/>
      <c r="F13" s="126"/>
      <c r="G13" s="127"/>
      <c r="H13" s="128"/>
      <c r="I13" s="127"/>
      <c r="J13" s="129"/>
      <c r="K13" s="130"/>
      <c r="L13" s="130"/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1000137.56</v>
      </c>
      <c r="F14" s="30"/>
      <c r="G14" s="347"/>
      <c r="H14" s="348"/>
      <c r="I14" s="30"/>
      <c r="J14" s="30"/>
      <c r="K14" s="30"/>
      <c r="L14" s="30"/>
      <c r="M14" s="30"/>
    </row>
  </sheetData>
  <autoFilter ref="A6:M13" xr:uid="{00000000-0009-0000-0000-000005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2"/>
  <sheetViews>
    <sheetView zoomScaleNormal="100" workbookViewId="0">
      <selection activeCell="I7" sqref="I7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9">
        <v>11011030018</v>
      </c>
      <c r="B6" s="10" t="s">
        <v>0</v>
      </c>
      <c r="C6" s="10" t="s">
        <v>3</v>
      </c>
      <c r="D6" s="43">
        <v>1782979.25</v>
      </c>
      <c r="E6" s="22">
        <v>0</v>
      </c>
      <c r="F6" s="36">
        <v>23600.75</v>
      </c>
      <c r="G6" s="36">
        <v>98858.32</v>
      </c>
      <c r="H6" s="36">
        <v>50748.21</v>
      </c>
      <c r="I6" s="36">
        <v>89899.5</v>
      </c>
      <c r="J6" s="11">
        <v>50000</v>
      </c>
      <c r="K6" s="11">
        <v>0</v>
      </c>
      <c r="L6" s="52">
        <v>350000</v>
      </c>
      <c r="M6" s="11"/>
      <c r="N6" s="11"/>
      <c r="O6" s="11"/>
      <c r="P6" s="12"/>
      <c r="Q6" s="27">
        <f>D6-SUM(E6:P6)</f>
        <v>1119872.47</v>
      </c>
    </row>
    <row r="7" spans="1:17" ht="15" thickBot="1">
      <c r="A7" s="19"/>
      <c r="B7" s="20"/>
      <c r="C7" s="20"/>
      <c r="D7" s="44">
        <f t="shared" ref="D7:Q7" si="0">SUM(D6:D6)</f>
        <v>1782979.25</v>
      </c>
      <c r="E7" s="30">
        <f t="shared" si="0"/>
        <v>0</v>
      </c>
      <c r="F7" s="30">
        <f t="shared" si="0"/>
        <v>23600.75</v>
      </c>
      <c r="G7" s="40">
        <f t="shared" si="0"/>
        <v>98858.32</v>
      </c>
      <c r="H7" s="40">
        <f t="shared" si="0"/>
        <v>50748.21</v>
      </c>
      <c r="I7" s="31">
        <f t="shared" si="0"/>
        <v>89899.5</v>
      </c>
      <c r="J7" s="31">
        <f t="shared" si="0"/>
        <v>50000</v>
      </c>
      <c r="K7" s="31">
        <f t="shared" si="0"/>
        <v>0</v>
      </c>
      <c r="L7" s="31">
        <f t="shared" si="0"/>
        <v>350000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1119872.47</v>
      </c>
    </row>
    <row r="9" spans="1:17">
      <c r="B9" s="4" t="s">
        <v>22</v>
      </c>
      <c r="C9" s="68">
        <f>SUM(E7:I7)</f>
        <v>263106.78000000003</v>
      </c>
    </row>
    <row r="10" spans="1:17">
      <c r="B10" s="38" t="s">
        <v>23</v>
      </c>
      <c r="C10" s="69">
        <v>0</v>
      </c>
    </row>
    <row r="11" spans="1:17">
      <c r="B11" s="5" t="s">
        <v>50</v>
      </c>
      <c r="C11" s="70">
        <f>SUM(J7)</f>
        <v>50000</v>
      </c>
      <c r="J11" s="47"/>
    </row>
    <row r="12" spans="1:17">
      <c r="B12" s="53" t="s">
        <v>51</v>
      </c>
      <c r="C12" s="71">
        <f>L7</f>
        <v>350000</v>
      </c>
      <c r="J12" s="47"/>
    </row>
    <row r="14" spans="1:17" ht="45" customHeight="1">
      <c r="B14" s="48" t="s">
        <v>32</v>
      </c>
      <c r="C14" s="351" t="s">
        <v>33</v>
      </c>
      <c r="D14" s="351"/>
      <c r="E14" s="351"/>
      <c r="F14" s="351"/>
      <c r="G14" s="351"/>
    </row>
    <row r="15" spans="1:17" ht="15" customHeight="1">
      <c r="B15" s="48"/>
      <c r="C15" s="50"/>
      <c r="D15" s="50"/>
      <c r="E15" s="50"/>
      <c r="F15" s="50"/>
      <c r="G15" s="50"/>
    </row>
    <row r="16" spans="1:17" ht="45" customHeight="1">
      <c r="B16" s="48" t="s">
        <v>34</v>
      </c>
      <c r="C16" s="351" t="s">
        <v>36</v>
      </c>
      <c r="D16" s="351"/>
      <c r="E16" s="351"/>
      <c r="F16" s="351"/>
      <c r="G16" s="351"/>
    </row>
    <row r="31" spans="2:7" ht="30" customHeight="1">
      <c r="B31" s="48" t="s">
        <v>35</v>
      </c>
      <c r="C31" s="351" t="s">
        <v>38</v>
      </c>
      <c r="D31" s="351"/>
      <c r="E31" s="351"/>
      <c r="F31" s="351"/>
      <c r="G31" s="351"/>
    </row>
    <row r="33" spans="2:7">
      <c r="C33" s="349" t="s">
        <v>37</v>
      </c>
      <c r="D33" s="349"/>
      <c r="E33" t="s">
        <v>39</v>
      </c>
    </row>
    <row r="34" spans="2:7">
      <c r="C34" s="349" t="s">
        <v>40</v>
      </c>
      <c r="D34" s="349"/>
      <c r="E34" t="s">
        <v>41</v>
      </c>
    </row>
    <row r="35" spans="2:7">
      <c r="C35" s="349" t="s">
        <v>42</v>
      </c>
      <c r="D35" s="349"/>
      <c r="E35" t="s">
        <v>44</v>
      </c>
    </row>
    <row r="36" spans="2:7">
      <c r="C36" s="349" t="s">
        <v>43</v>
      </c>
      <c r="D36" s="349"/>
      <c r="E36" t="s">
        <v>45</v>
      </c>
    </row>
    <row r="37" spans="2:7">
      <c r="C37" s="49"/>
    </row>
    <row r="38" spans="2:7" ht="30" customHeight="1">
      <c r="C38" s="350" t="s">
        <v>46</v>
      </c>
      <c r="D38" s="350"/>
      <c r="E38" s="51" t="s">
        <v>47</v>
      </c>
    </row>
    <row r="39" spans="2:7">
      <c r="C39" s="49"/>
    </row>
    <row r="40" spans="2:7">
      <c r="B40" s="48" t="s">
        <v>48</v>
      </c>
      <c r="C40" s="351" t="s">
        <v>49</v>
      </c>
      <c r="D40" s="351"/>
      <c r="E40" s="351"/>
      <c r="F40" s="351"/>
      <c r="G40" s="351"/>
    </row>
    <row r="41" spans="2:7">
      <c r="B41" s="48"/>
      <c r="C41" s="50"/>
      <c r="D41" s="50"/>
      <c r="E41" s="50"/>
      <c r="F41" s="50"/>
      <c r="G41" s="50"/>
    </row>
    <row r="42" spans="2:7" ht="45" customHeight="1">
      <c r="B42" s="48" t="s">
        <v>52</v>
      </c>
      <c r="C42" s="351" t="s">
        <v>53</v>
      </c>
      <c r="D42" s="351"/>
      <c r="E42" s="351"/>
      <c r="F42" s="351"/>
      <c r="G42" s="351"/>
    </row>
  </sheetData>
  <mergeCells count="10">
    <mergeCell ref="C36:D36"/>
    <mergeCell ref="C38:D38"/>
    <mergeCell ref="C40:G40"/>
    <mergeCell ref="C42:G42"/>
    <mergeCell ref="C14:G14"/>
    <mergeCell ref="C16:G16"/>
    <mergeCell ref="C31:G31"/>
    <mergeCell ref="C33:D33"/>
    <mergeCell ref="C34:D34"/>
    <mergeCell ref="C35:D3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61"/>
  <sheetViews>
    <sheetView topLeftCell="A4" zoomScaleNormal="100" workbookViewId="0">
      <selection activeCell="C13" sqref="C13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11011030021</v>
      </c>
      <c r="B6" s="3" t="s">
        <v>5</v>
      </c>
      <c r="C6" s="3" t="s">
        <v>4</v>
      </c>
      <c r="D6" s="41">
        <f>718260.94+1500000</f>
        <v>2218260.94</v>
      </c>
      <c r="E6" s="23">
        <v>57150.879999999997</v>
      </c>
      <c r="F6" s="35">
        <v>425168.82</v>
      </c>
      <c r="G6" s="35">
        <v>213587.03</v>
      </c>
      <c r="H6" s="35">
        <v>129971.84</v>
      </c>
      <c r="I6" s="35">
        <v>93901.22</v>
      </c>
      <c r="J6" s="45">
        <v>435431.52</v>
      </c>
      <c r="K6" s="6">
        <v>500000</v>
      </c>
      <c r="L6" s="6">
        <v>350000</v>
      </c>
      <c r="M6" s="6"/>
      <c r="N6" s="6"/>
      <c r="O6" s="6"/>
      <c r="P6" s="14"/>
      <c r="Q6" s="25">
        <f>D6-SUM(E6:P6)</f>
        <v>13049.629999999888</v>
      </c>
    </row>
    <row r="7" spans="1:17" ht="15" thickBot="1">
      <c r="A7" s="13">
        <v>11011030021</v>
      </c>
      <c r="B7" s="3" t="s">
        <v>6</v>
      </c>
      <c r="C7" s="3" t="s">
        <v>4</v>
      </c>
      <c r="D7" s="41">
        <f>166275.28+1500000</f>
        <v>1666275.28</v>
      </c>
      <c r="E7" s="23">
        <v>154797.99</v>
      </c>
      <c r="F7" s="35">
        <v>10277.94</v>
      </c>
      <c r="G7" s="35">
        <v>44113.22</v>
      </c>
      <c r="H7" s="35">
        <v>24640.76</v>
      </c>
      <c r="I7" s="35">
        <v>17260.990000000002</v>
      </c>
      <c r="J7" s="45">
        <v>652623.29</v>
      </c>
      <c r="K7" s="6">
        <v>500000</v>
      </c>
      <c r="L7" s="6">
        <v>250000</v>
      </c>
      <c r="M7" s="6"/>
      <c r="N7" s="6"/>
      <c r="O7" s="6"/>
      <c r="P7" s="14"/>
      <c r="Q7" s="25">
        <f>D7-SUM(E7:P7)</f>
        <v>12561.090000000084</v>
      </c>
    </row>
    <row r="8" spans="1:17" ht="15" thickBot="1">
      <c r="A8" s="19"/>
      <c r="B8" s="20"/>
      <c r="C8" s="20"/>
      <c r="D8" s="44">
        <f t="shared" ref="D8:P8" si="0">SUM(D6:D7)</f>
        <v>3884536.2199999997</v>
      </c>
      <c r="E8" s="30">
        <f t="shared" si="0"/>
        <v>211948.87</v>
      </c>
      <c r="F8" s="30">
        <f t="shared" si="0"/>
        <v>435446.76</v>
      </c>
      <c r="G8" s="40">
        <f t="shared" si="0"/>
        <v>257700.25</v>
      </c>
      <c r="H8" s="40">
        <f t="shared" si="0"/>
        <v>154612.6</v>
      </c>
      <c r="I8" s="31">
        <f t="shared" si="0"/>
        <v>111162.21</v>
      </c>
      <c r="J8" s="31">
        <f t="shared" si="0"/>
        <v>1088054.81</v>
      </c>
      <c r="K8" s="31">
        <f t="shared" si="0"/>
        <v>1000000</v>
      </c>
      <c r="L8" s="31">
        <f t="shared" si="0"/>
        <v>600000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12561.090000000084</v>
      </c>
    </row>
    <row r="10" spans="1:17">
      <c r="B10" s="4" t="s">
        <v>22</v>
      </c>
      <c r="C10" s="68">
        <f>SUM(E8:I8)</f>
        <v>1170870.69</v>
      </c>
    </row>
    <row r="11" spans="1:17">
      <c r="B11" s="38" t="s">
        <v>23</v>
      </c>
      <c r="C11" s="69">
        <f>SUM(J8)</f>
        <v>1088054.81</v>
      </c>
    </row>
    <row r="12" spans="1:17">
      <c r="B12" s="5" t="s">
        <v>50</v>
      </c>
      <c r="C12" s="70">
        <f>SUM(K8:L8)</f>
        <v>1600000</v>
      </c>
      <c r="D12" s="72" t="s">
        <v>106</v>
      </c>
      <c r="E12" s="73"/>
      <c r="F12" s="73"/>
      <c r="G12" s="73"/>
      <c r="H12" s="73"/>
      <c r="J12" s="47"/>
    </row>
    <row r="13" spans="1:17">
      <c r="B13" s="53" t="s">
        <v>51</v>
      </c>
      <c r="C13" s="71">
        <v>0</v>
      </c>
      <c r="J13" s="47"/>
    </row>
    <row r="15" spans="1:17" ht="30" customHeight="1">
      <c r="B15" s="48" t="s">
        <v>32</v>
      </c>
      <c r="C15" s="351" t="s">
        <v>54</v>
      </c>
      <c r="D15" s="351"/>
      <c r="E15" s="351"/>
      <c r="F15" s="351"/>
      <c r="G15" s="351"/>
    </row>
    <row r="16" spans="1:17" ht="15" customHeight="1">
      <c r="B16" s="48"/>
      <c r="C16" s="50"/>
      <c r="D16" s="50"/>
      <c r="E16" s="50"/>
      <c r="F16" s="50"/>
      <c r="G16" s="50"/>
    </row>
    <row r="17" spans="2:7" ht="15" customHeight="1">
      <c r="B17" s="48" t="s">
        <v>34</v>
      </c>
      <c r="C17" s="351" t="s">
        <v>88</v>
      </c>
      <c r="D17" s="351"/>
      <c r="E17" s="351"/>
      <c r="F17" s="351"/>
      <c r="G17" s="351"/>
    </row>
    <row r="18" spans="2:7" ht="15" customHeight="1">
      <c r="B18" s="48"/>
      <c r="C18" s="50"/>
      <c r="D18" s="50"/>
      <c r="E18" s="50"/>
      <c r="F18" s="50"/>
      <c r="G18" s="50"/>
    </row>
    <row r="19" spans="2:7" ht="30" customHeight="1">
      <c r="B19" s="48" t="s">
        <v>35</v>
      </c>
      <c r="C19" s="351" t="s">
        <v>55</v>
      </c>
      <c r="D19" s="351"/>
      <c r="E19" s="351"/>
      <c r="F19" s="351"/>
      <c r="G19" s="351"/>
    </row>
    <row r="20" spans="2:7" ht="15" customHeight="1">
      <c r="B20" s="48"/>
      <c r="C20" s="50"/>
      <c r="D20" s="50"/>
      <c r="E20" s="50"/>
      <c r="F20" s="50"/>
      <c r="G20" s="50"/>
    </row>
    <row r="21" spans="2:7" ht="15" customHeight="1">
      <c r="B21" s="48" t="s">
        <v>48</v>
      </c>
      <c r="C21" s="351" t="s">
        <v>56</v>
      </c>
      <c r="D21" s="351"/>
      <c r="E21" s="351"/>
      <c r="F21" s="351"/>
      <c r="G21" s="351"/>
    </row>
    <row r="22" spans="2:7" ht="15" customHeight="1">
      <c r="B22" s="48"/>
      <c r="C22" s="50"/>
      <c r="D22" s="50"/>
      <c r="E22" s="50"/>
      <c r="F22" s="50"/>
      <c r="G22" s="50"/>
    </row>
    <row r="23" spans="2:7">
      <c r="B23" s="48" t="s">
        <v>52</v>
      </c>
      <c r="C23" s="351" t="s">
        <v>78</v>
      </c>
      <c r="D23" s="351"/>
      <c r="E23" s="351"/>
      <c r="F23" s="351"/>
      <c r="G23" s="351"/>
    </row>
    <row r="24" spans="2:7">
      <c r="C24" s="54" t="s">
        <v>57</v>
      </c>
      <c r="D24" s="55"/>
      <c r="E24" s="61"/>
      <c r="F24" s="62" t="s">
        <v>69</v>
      </c>
      <c r="G24" s="55"/>
    </row>
    <row r="25" spans="2:7">
      <c r="C25" s="56" t="s">
        <v>60</v>
      </c>
      <c r="D25" s="57" t="s">
        <v>58</v>
      </c>
      <c r="E25" s="63"/>
      <c r="F25" s="48" t="s">
        <v>60</v>
      </c>
      <c r="G25" s="57" t="s">
        <v>70</v>
      </c>
    </row>
    <row r="26" spans="2:7">
      <c r="C26" s="56" t="s">
        <v>90</v>
      </c>
      <c r="D26" s="57" t="s">
        <v>89</v>
      </c>
      <c r="E26" s="63"/>
      <c r="F26" s="48" t="s">
        <v>90</v>
      </c>
      <c r="G26" s="57" t="s">
        <v>91</v>
      </c>
    </row>
    <row r="27" spans="2:7">
      <c r="C27" s="56" t="s">
        <v>71</v>
      </c>
      <c r="D27" s="57" t="s">
        <v>72</v>
      </c>
      <c r="E27" s="63"/>
      <c r="F27" s="1" t="s">
        <v>71</v>
      </c>
      <c r="G27" s="57" t="s">
        <v>73</v>
      </c>
    </row>
    <row r="28" spans="2:7">
      <c r="C28" s="56" t="s">
        <v>61</v>
      </c>
      <c r="D28" s="57" t="s">
        <v>59</v>
      </c>
      <c r="E28" s="63"/>
      <c r="F28" s="48" t="s">
        <v>61</v>
      </c>
      <c r="G28" s="57" t="s">
        <v>74</v>
      </c>
    </row>
    <row r="29" spans="2:7">
      <c r="C29" s="56" t="s">
        <v>62</v>
      </c>
      <c r="D29" s="57" t="s">
        <v>63</v>
      </c>
      <c r="E29" s="63"/>
      <c r="F29" s="48" t="s">
        <v>62</v>
      </c>
      <c r="G29" s="57" t="s">
        <v>75</v>
      </c>
    </row>
    <row r="30" spans="2:7">
      <c r="C30" s="56" t="s">
        <v>79</v>
      </c>
      <c r="D30" s="57" t="s">
        <v>64</v>
      </c>
      <c r="E30" s="63"/>
      <c r="F30" s="48" t="s">
        <v>79</v>
      </c>
      <c r="G30" s="57" t="s">
        <v>64</v>
      </c>
    </row>
    <row r="31" spans="2:7">
      <c r="C31" s="56" t="s">
        <v>65</v>
      </c>
      <c r="D31" s="58" t="s">
        <v>66</v>
      </c>
      <c r="E31" s="63"/>
      <c r="F31" s="48" t="s">
        <v>65</v>
      </c>
      <c r="G31" s="58" t="s">
        <v>76</v>
      </c>
    </row>
    <row r="32" spans="2:7">
      <c r="C32" s="59" t="s">
        <v>67</v>
      </c>
      <c r="D32" s="60" t="s">
        <v>68</v>
      </c>
      <c r="E32" s="64"/>
      <c r="F32" s="65" t="s">
        <v>67</v>
      </c>
      <c r="G32" s="60" t="s">
        <v>77</v>
      </c>
    </row>
    <row r="34" spans="2:7" ht="60" customHeight="1">
      <c r="B34" s="48" t="s">
        <v>80</v>
      </c>
      <c r="C34" s="351" t="s">
        <v>81</v>
      </c>
      <c r="D34" s="351"/>
      <c r="E34" s="351"/>
      <c r="F34" s="351"/>
      <c r="G34" s="351"/>
    </row>
    <row r="36" spans="2:7">
      <c r="B36" s="48" t="s">
        <v>86</v>
      </c>
      <c r="C36" s="351" t="s">
        <v>82</v>
      </c>
      <c r="D36" s="351"/>
      <c r="E36" s="351"/>
      <c r="F36" s="351"/>
      <c r="G36" s="351"/>
    </row>
    <row r="37" spans="2:7">
      <c r="C37" s="54" t="s">
        <v>57</v>
      </c>
      <c r="D37" s="55"/>
      <c r="E37" s="61"/>
      <c r="F37" s="62" t="s">
        <v>69</v>
      </c>
      <c r="G37" s="55"/>
    </row>
    <row r="38" spans="2:7">
      <c r="C38" s="56" t="s">
        <v>60</v>
      </c>
      <c r="D38" s="57" t="s">
        <v>83</v>
      </c>
      <c r="E38" s="63"/>
      <c r="F38" s="48" t="s">
        <v>60</v>
      </c>
      <c r="G38" s="57" t="s">
        <v>85</v>
      </c>
    </row>
    <row r="39" spans="2:7">
      <c r="C39" s="56" t="s">
        <v>90</v>
      </c>
      <c r="D39" s="57" t="s">
        <v>84</v>
      </c>
      <c r="E39" s="63"/>
      <c r="F39" s="48" t="s">
        <v>90</v>
      </c>
      <c r="G39" s="57" t="s">
        <v>84</v>
      </c>
    </row>
    <row r="40" spans="2:7">
      <c r="C40" s="56" t="s">
        <v>71</v>
      </c>
      <c r="D40" s="57" t="s">
        <v>84</v>
      </c>
      <c r="E40" s="63"/>
      <c r="F40" s="1" t="s">
        <v>71</v>
      </c>
      <c r="G40" s="57" t="s">
        <v>84</v>
      </c>
    </row>
    <row r="41" spans="2:7">
      <c r="C41" s="56" t="s">
        <v>61</v>
      </c>
      <c r="D41" s="57" t="s">
        <v>84</v>
      </c>
      <c r="E41" s="63"/>
      <c r="F41" s="48" t="s">
        <v>61</v>
      </c>
      <c r="G41" s="57" t="s">
        <v>84</v>
      </c>
    </row>
    <row r="42" spans="2:7">
      <c r="C42" s="56" t="s">
        <v>62</v>
      </c>
      <c r="D42" s="57" t="s">
        <v>84</v>
      </c>
      <c r="E42" s="63"/>
      <c r="F42" s="48" t="s">
        <v>62</v>
      </c>
      <c r="G42" s="57" t="s">
        <v>84</v>
      </c>
    </row>
    <row r="43" spans="2:7">
      <c r="C43" s="56" t="s">
        <v>79</v>
      </c>
      <c r="D43" s="57" t="s">
        <v>84</v>
      </c>
      <c r="E43" s="63"/>
      <c r="F43" s="48" t="s">
        <v>79</v>
      </c>
      <c r="G43" s="57" t="s">
        <v>84</v>
      </c>
    </row>
    <row r="44" spans="2:7">
      <c r="C44" s="56" t="s">
        <v>65</v>
      </c>
      <c r="D44" s="58" t="s">
        <v>84</v>
      </c>
      <c r="E44" s="63"/>
      <c r="F44" s="48" t="s">
        <v>65</v>
      </c>
      <c r="G44" s="58" t="s">
        <v>84</v>
      </c>
    </row>
    <row r="45" spans="2:7">
      <c r="C45" s="59" t="s">
        <v>67</v>
      </c>
      <c r="D45" s="60" t="s">
        <v>68</v>
      </c>
      <c r="E45" s="64"/>
      <c r="F45" s="65" t="s">
        <v>67</v>
      </c>
      <c r="G45" s="60" t="s">
        <v>84</v>
      </c>
    </row>
    <row r="47" spans="2:7">
      <c r="B47" s="48" t="s">
        <v>87</v>
      </c>
      <c r="C47" s="351" t="s">
        <v>92</v>
      </c>
      <c r="D47" s="351"/>
      <c r="E47" s="351"/>
      <c r="F47" s="351"/>
      <c r="G47" s="351"/>
    </row>
    <row r="48" spans="2:7">
      <c r="C48" s="49" t="s">
        <v>93</v>
      </c>
    </row>
    <row r="49" spans="1:7" s="66" customFormat="1" ht="35.25" customHeight="1">
      <c r="A49" s="49"/>
      <c r="B49" s="49"/>
      <c r="C49" s="351" t="s">
        <v>94</v>
      </c>
      <c r="D49" s="351"/>
      <c r="E49" s="351"/>
      <c r="F49" s="351"/>
      <c r="G49" s="351"/>
    </row>
    <row r="50" spans="1:7" ht="60" customHeight="1">
      <c r="C50" s="351" t="s">
        <v>97</v>
      </c>
      <c r="D50" s="351"/>
      <c r="E50" s="351"/>
      <c r="F50" s="351"/>
      <c r="G50" s="351"/>
    </row>
    <row r="51" spans="1:7">
      <c r="C51" s="49"/>
    </row>
    <row r="52" spans="1:7" ht="30" customHeight="1">
      <c r="B52" s="48" t="s">
        <v>95</v>
      </c>
      <c r="C52" s="351" t="s">
        <v>96</v>
      </c>
      <c r="D52" s="351"/>
      <c r="E52" s="351"/>
      <c r="F52" s="351"/>
      <c r="G52" s="351"/>
    </row>
    <row r="53" spans="1:7">
      <c r="C53" s="49"/>
    </row>
    <row r="54" spans="1:7">
      <c r="C54" s="49"/>
    </row>
    <row r="55" spans="1:7">
      <c r="C55" s="49"/>
    </row>
    <row r="56" spans="1:7">
      <c r="C56" s="49"/>
    </row>
    <row r="57" spans="1:7">
      <c r="C57" s="49"/>
    </row>
    <row r="58" spans="1:7">
      <c r="C58" s="49"/>
    </row>
    <row r="59" spans="1:7">
      <c r="C59" s="49"/>
    </row>
    <row r="60" spans="1:7">
      <c r="C60" s="49"/>
    </row>
    <row r="61" spans="1:7">
      <c r="C61" s="49"/>
    </row>
  </sheetData>
  <mergeCells count="11">
    <mergeCell ref="C50:G50"/>
    <mergeCell ref="C52:G52"/>
    <mergeCell ref="C19:G19"/>
    <mergeCell ref="C21:G21"/>
    <mergeCell ref="C23:G23"/>
    <mergeCell ref="C36:G36"/>
    <mergeCell ref="C15:G15"/>
    <mergeCell ref="C17:G17"/>
    <mergeCell ref="C34:G34"/>
    <mergeCell ref="C47:G47"/>
    <mergeCell ref="C49:G4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52"/>
  <sheetViews>
    <sheetView topLeftCell="C4" zoomScaleNormal="100" workbookViewId="0">
      <selection activeCell="L14" sqref="L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11011030022</v>
      </c>
      <c r="B6" s="3" t="s">
        <v>1</v>
      </c>
      <c r="C6" s="46" t="s">
        <v>31</v>
      </c>
      <c r="D6" s="41">
        <f>950000-177078.43+2427078.47</f>
        <v>3200000.04</v>
      </c>
      <c r="E6" s="23">
        <v>0</v>
      </c>
      <c r="F6" s="35">
        <v>184420.68</v>
      </c>
      <c r="G6" s="35">
        <v>101487.4</v>
      </c>
      <c r="H6" s="35">
        <v>351829.63</v>
      </c>
      <c r="I6" s="35">
        <v>104106.84</v>
      </c>
      <c r="J6" s="45">
        <v>20135.97</v>
      </c>
      <c r="K6" s="6">
        <v>410000</v>
      </c>
      <c r="L6" s="67">
        <v>700000</v>
      </c>
      <c r="M6" s="67">
        <v>700000</v>
      </c>
      <c r="N6" s="67">
        <v>590000</v>
      </c>
      <c r="O6" s="6"/>
      <c r="P6" s="14"/>
      <c r="Q6" s="25">
        <f>D6-SUM(E6:P6)</f>
        <v>38019.520000000019</v>
      </c>
    </row>
    <row r="7" spans="1:17" ht="15" thickBot="1">
      <c r="A7" s="19"/>
      <c r="B7" s="20"/>
      <c r="C7" s="20"/>
      <c r="D7" s="44">
        <f t="shared" ref="D7:Q7" si="0">SUM(D6:D6)</f>
        <v>3200000.04</v>
      </c>
      <c r="E7" s="30">
        <f t="shared" si="0"/>
        <v>0</v>
      </c>
      <c r="F7" s="30">
        <f t="shared" si="0"/>
        <v>184420.68</v>
      </c>
      <c r="G7" s="40">
        <f t="shared" si="0"/>
        <v>101487.4</v>
      </c>
      <c r="H7" s="40">
        <f t="shared" si="0"/>
        <v>351829.63</v>
      </c>
      <c r="I7" s="31">
        <f t="shared" si="0"/>
        <v>104106.84</v>
      </c>
      <c r="J7" s="31">
        <f t="shared" si="0"/>
        <v>20135.97</v>
      </c>
      <c r="K7" s="31">
        <f t="shared" si="0"/>
        <v>410000</v>
      </c>
      <c r="L7" s="31">
        <f t="shared" si="0"/>
        <v>700000</v>
      </c>
      <c r="M7" s="31">
        <f t="shared" si="0"/>
        <v>700000</v>
      </c>
      <c r="N7" s="31">
        <f t="shared" si="0"/>
        <v>590000</v>
      </c>
      <c r="O7" s="31">
        <f t="shared" si="0"/>
        <v>0</v>
      </c>
      <c r="P7" s="32">
        <f t="shared" si="0"/>
        <v>0</v>
      </c>
      <c r="Q7" s="33">
        <f t="shared" si="0"/>
        <v>38019.520000000019</v>
      </c>
    </row>
    <row r="9" spans="1:17">
      <c r="B9" s="4" t="s">
        <v>22</v>
      </c>
      <c r="C9" s="68">
        <f>SUM(E7:I7)</f>
        <v>741844.54999999993</v>
      </c>
    </row>
    <row r="10" spans="1:17">
      <c r="B10" s="38" t="s">
        <v>23</v>
      </c>
      <c r="C10" s="69">
        <f>SUM(J7)</f>
        <v>20135.97</v>
      </c>
    </row>
    <row r="11" spans="1:17">
      <c r="B11" s="5" t="s">
        <v>50</v>
      </c>
      <c r="C11" s="70">
        <f>SUM(K7)</f>
        <v>410000</v>
      </c>
      <c r="J11" s="47"/>
    </row>
    <row r="12" spans="1:17">
      <c r="B12" s="53" t="s">
        <v>51</v>
      </c>
      <c r="C12" s="71">
        <f>SUM(L7:N7)</f>
        <v>1990000</v>
      </c>
      <c r="J12" s="47"/>
    </row>
    <row r="14" spans="1:17" ht="45" customHeight="1">
      <c r="B14" s="48" t="s">
        <v>32</v>
      </c>
      <c r="C14" s="351" t="s">
        <v>98</v>
      </c>
      <c r="D14" s="351"/>
      <c r="E14" s="351"/>
      <c r="F14" s="351"/>
      <c r="G14" s="351"/>
    </row>
    <row r="30" spans="2:7">
      <c r="C30" s="49" t="s">
        <v>99</v>
      </c>
    </row>
    <row r="32" spans="2:7">
      <c r="B32" s="48" t="s">
        <v>34</v>
      </c>
      <c r="C32" s="351" t="s">
        <v>101</v>
      </c>
      <c r="D32" s="351"/>
      <c r="E32" s="351"/>
      <c r="F32" s="351"/>
      <c r="G32" s="351"/>
    </row>
    <row r="43" spans="2:8" ht="30" customHeight="1">
      <c r="C43" s="351" t="s">
        <v>100</v>
      </c>
      <c r="D43" s="351"/>
      <c r="E43" s="351"/>
      <c r="F43" s="351"/>
      <c r="G43" s="351"/>
      <c r="H43" s="351"/>
    </row>
    <row r="45" spans="2:8" ht="45" customHeight="1">
      <c r="C45" s="351" t="s">
        <v>102</v>
      </c>
      <c r="D45" s="351"/>
      <c r="E45" s="351"/>
      <c r="F45" s="351"/>
      <c r="G45" s="351"/>
      <c r="H45" s="351"/>
    </row>
    <row r="47" spans="2:8">
      <c r="B47" s="48" t="s">
        <v>35</v>
      </c>
      <c r="C47" s="351" t="s">
        <v>92</v>
      </c>
      <c r="D47" s="351"/>
      <c r="E47" s="351"/>
      <c r="F47" s="351"/>
      <c r="G47" s="351"/>
    </row>
    <row r="48" spans="2:8" ht="15" customHeight="1">
      <c r="C48" s="351" t="s">
        <v>103</v>
      </c>
      <c r="D48" s="351"/>
      <c r="E48" s="351"/>
      <c r="F48" s="351"/>
      <c r="G48" s="351"/>
      <c r="H48" s="351"/>
    </row>
    <row r="49" spans="2:8">
      <c r="C49" s="351" t="s">
        <v>104</v>
      </c>
      <c r="D49" s="351"/>
      <c r="E49" s="351"/>
      <c r="F49" s="351"/>
      <c r="G49" s="351"/>
      <c r="H49" s="351"/>
    </row>
    <row r="50" spans="2:8">
      <c r="C50" s="351" t="s">
        <v>105</v>
      </c>
      <c r="D50" s="351"/>
      <c r="E50" s="351"/>
      <c r="F50" s="351"/>
      <c r="G50" s="351"/>
      <c r="H50" s="351"/>
    </row>
    <row r="52" spans="2:8" ht="30" customHeight="1">
      <c r="B52" s="48" t="s">
        <v>48</v>
      </c>
      <c r="C52" s="351" t="s">
        <v>96</v>
      </c>
      <c r="D52" s="351"/>
      <c r="E52" s="351"/>
      <c r="F52" s="351"/>
      <c r="G52" s="351"/>
    </row>
  </sheetData>
  <mergeCells count="9">
    <mergeCell ref="C52:G52"/>
    <mergeCell ref="C32:G32"/>
    <mergeCell ref="C43:H43"/>
    <mergeCell ref="C14:G14"/>
    <mergeCell ref="C45:H45"/>
    <mergeCell ref="C47:G47"/>
    <mergeCell ref="C48:H48"/>
    <mergeCell ref="C49:H49"/>
    <mergeCell ref="C50:H50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"/>
  <sheetViews>
    <sheetView topLeftCell="C1" zoomScaleNormal="100" workbookViewId="0">
      <selection activeCell="C14" sqref="C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11011030023</v>
      </c>
      <c r="B6" s="3" t="s">
        <v>19</v>
      </c>
      <c r="C6" s="3" t="s">
        <v>27</v>
      </c>
      <c r="D6" s="41">
        <f>400000+150000+1250000</f>
        <v>1800000</v>
      </c>
      <c r="E6" s="34">
        <v>0</v>
      </c>
      <c r="F6" s="35">
        <v>0</v>
      </c>
      <c r="G6" s="35">
        <v>0</v>
      </c>
      <c r="H6" s="35">
        <v>120740.6</v>
      </c>
      <c r="I6" s="35">
        <v>92123.3</v>
      </c>
      <c r="J6" s="45">
        <v>64337.35</v>
      </c>
      <c r="K6" s="6">
        <v>405000</v>
      </c>
      <c r="L6" s="67">
        <v>300000</v>
      </c>
      <c r="M6" s="67">
        <v>260000</v>
      </c>
      <c r="N6" s="6"/>
      <c r="O6" s="6"/>
      <c r="P6" s="14"/>
      <c r="Q6" s="25">
        <f>D6-SUM(E6:P6)</f>
        <v>557798.75</v>
      </c>
    </row>
    <row r="7" spans="1:17" ht="15" thickBot="1">
      <c r="A7" s="13">
        <v>11011030023</v>
      </c>
      <c r="B7" s="3" t="s">
        <v>20</v>
      </c>
      <c r="C7" s="3" t="s">
        <v>27</v>
      </c>
      <c r="D7" s="41">
        <f>400000+150000+1250000</f>
        <v>1800000</v>
      </c>
      <c r="E7" s="34">
        <v>0</v>
      </c>
      <c r="F7" s="35">
        <v>0</v>
      </c>
      <c r="G7" s="35">
        <v>0</v>
      </c>
      <c r="H7" s="35">
        <v>94088.51</v>
      </c>
      <c r="I7" s="35">
        <v>255201.88</v>
      </c>
      <c r="J7" s="6">
        <v>120000</v>
      </c>
      <c r="K7" s="6"/>
      <c r="L7" s="6"/>
      <c r="M7" s="6"/>
      <c r="N7" s="6"/>
      <c r="O7" s="6"/>
      <c r="P7" s="14"/>
      <c r="Q7" s="25">
        <f>D7-SUM(E7:P7)</f>
        <v>1330709.6099999999</v>
      </c>
    </row>
    <row r="8" spans="1:17" ht="15" thickBot="1">
      <c r="A8" s="19"/>
      <c r="B8" s="20"/>
      <c r="C8" s="20"/>
      <c r="D8" s="44">
        <f t="shared" ref="D8:P8" si="0">SUM(D6:D7)</f>
        <v>3600000</v>
      </c>
      <c r="E8" s="30">
        <f t="shared" si="0"/>
        <v>0</v>
      </c>
      <c r="F8" s="30">
        <f t="shared" si="0"/>
        <v>0</v>
      </c>
      <c r="G8" s="40">
        <f t="shared" si="0"/>
        <v>0</v>
      </c>
      <c r="H8" s="40">
        <f t="shared" si="0"/>
        <v>214829.11</v>
      </c>
      <c r="I8" s="31">
        <f t="shared" si="0"/>
        <v>347325.18</v>
      </c>
      <c r="J8" s="31">
        <f t="shared" si="0"/>
        <v>184337.35</v>
      </c>
      <c r="K8" s="31">
        <f t="shared" si="0"/>
        <v>405000</v>
      </c>
      <c r="L8" s="31">
        <f t="shared" si="0"/>
        <v>300000</v>
      </c>
      <c r="M8" s="31">
        <f t="shared" si="0"/>
        <v>260000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1330709.6099999999</v>
      </c>
    </row>
    <row r="10" spans="1:17">
      <c r="B10" s="4" t="s">
        <v>22</v>
      </c>
      <c r="C10" s="68">
        <f>SUM(E8:I8)</f>
        <v>562154.29</v>
      </c>
    </row>
    <row r="11" spans="1:17">
      <c r="B11" s="38" t="s">
        <v>23</v>
      </c>
      <c r="C11" s="69">
        <f>J6</f>
        <v>64337.35</v>
      </c>
    </row>
    <row r="12" spans="1:17">
      <c r="B12" s="5" t="s">
        <v>50</v>
      </c>
      <c r="C12" s="70">
        <f>SUM(K8)+J7</f>
        <v>525000</v>
      </c>
      <c r="D12" s="74"/>
      <c r="J12" s="47"/>
    </row>
    <row r="13" spans="1:17">
      <c r="B13" s="53" t="s">
        <v>51</v>
      </c>
      <c r="C13" s="71">
        <f>SUM(L8:M8)</f>
        <v>560000</v>
      </c>
      <c r="J13" s="47"/>
    </row>
    <row r="15" spans="1:17" ht="30" customHeight="1">
      <c r="B15" s="48" t="s">
        <v>32</v>
      </c>
      <c r="C15" s="351" t="s">
        <v>107</v>
      </c>
      <c r="D15" s="351"/>
      <c r="E15" s="351"/>
      <c r="F15" s="351"/>
      <c r="G15" s="351"/>
    </row>
    <row r="16" spans="1:17" ht="15" customHeight="1">
      <c r="B16" s="48"/>
      <c r="C16" s="50"/>
      <c r="D16" s="50"/>
      <c r="E16" s="50"/>
      <c r="F16" s="50"/>
      <c r="G16" s="50"/>
    </row>
    <row r="17" spans="2:7" ht="30" customHeight="1">
      <c r="B17" s="48" t="s">
        <v>34</v>
      </c>
      <c r="C17" s="351" t="s">
        <v>109</v>
      </c>
      <c r="D17" s="351"/>
      <c r="E17" s="351"/>
      <c r="F17" s="351"/>
      <c r="G17" s="351"/>
    </row>
    <row r="18" spans="2:7" ht="15" customHeight="1">
      <c r="B18" s="48"/>
      <c r="C18" s="50"/>
      <c r="D18" s="50"/>
      <c r="E18" s="50"/>
      <c r="F18" s="50"/>
      <c r="G18" s="50"/>
    </row>
    <row r="19" spans="2:7" ht="15" customHeight="1">
      <c r="B19" s="48" t="s">
        <v>35</v>
      </c>
      <c r="C19" s="351" t="s">
        <v>108</v>
      </c>
      <c r="D19" s="351"/>
      <c r="E19" s="351"/>
      <c r="F19" s="351"/>
      <c r="G19" s="351"/>
    </row>
    <row r="20" spans="2:7" ht="15" customHeight="1">
      <c r="B20" s="48"/>
      <c r="C20" s="50"/>
      <c r="D20" s="50"/>
      <c r="E20" s="50"/>
      <c r="F20" s="50"/>
      <c r="G20" s="50"/>
    </row>
    <row r="21" spans="2:7">
      <c r="B21" s="48" t="s">
        <v>48</v>
      </c>
      <c r="C21" s="351" t="s">
        <v>110</v>
      </c>
      <c r="D21" s="351"/>
      <c r="E21" s="351"/>
      <c r="F21" s="351"/>
      <c r="G21" s="351"/>
    </row>
    <row r="22" spans="2:7">
      <c r="C22" s="49"/>
    </row>
    <row r="23" spans="2:7">
      <c r="C23" s="49"/>
    </row>
    <row r="24" spans="2:7">
      <c r="C24" s="49"/>
    </row>
    <row r="25" spans="2:7">
      <c r="C25" s="49"/>
    </row>
    <row r="26" spans="2:7">
      <c r="C26" s="49"/>
    </row>
    <row r="27" spans="2:7">
      <c r="C27" s="49"/>
    </row>
    <row r="28" spans="2:7">
      <c r="C28" s="49"/>
    </row>
    <row r="29" spans="2:7">
      <c r="C29" s="49"/>
    </row>
  </sheetData>
  <mergeCells count="4">
    <mergeCell ref="C21:G21"/>
    <mergeCell ref="C15:G15"/>
    <mergeCell ref="C17:G17"/>
    <mergeCell ref="C19:G1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Q47"/>
  <sheetViews>
    <sheetView zoomScaleNormal="100" workbookViewId="0">
      <selection activeCell="K14" sqref="K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11011030024</v>
      </c>
      <c r="B6" s="3" t="s">
        <v>2</v>
      </c>
      <c r="C6" s="3" t="s">
        <v>3</v>
      </c>
      <c r="D6" s="41">
        <f>1300000+300000</f>
        <v>1600000</v>
      </c>
      <c r="E6" s="34">
        <v>0</v>
      </c>
      <c r="F6" s="35">
        <v>0</v>
      </c>
      <c r="G6" s="35">
        <v>303720.24</v>
      </c>
      <c r="H6" s="35">
        <v>371897.9</v>
      </c>
      <c r="I6" s="35">
        <v>378401.31</v>
      </c>
      <c r="J6" s="45">
        <v>251807.42</v>
      </c>
      <c r="K6" s="6">
        <v>270000</v>
      </c>
      <c r="L6" s="6"/>
      <c r="M6" s="6"/>
      <c r="N6" s="6"/>
      <c r="O6" s="6"/>
      <c r="P6" s="14"/>
      <c r="Q6" s="25">
        <f>D6-SUM(E6:P6)</f>
        <v>24173.130000000121</v>
      </c>
    </row>
    <row r="7" spans="1:17" ht="15" thickBot="1">
      <c r="A7" s="19"/>
      <c r="B7" s="20"/>
      <c r="C7" s="20"/>
      <c r="D7" s="44">
        <f t="shared" ref="D7:Q7" si="0">SUM(D6:D6)</f>
        <v>1600000</v>
      </c>
      <c r="E7" s="30">
        <f t="shared" si="0"/>
        <v>0</v>
      </c>
      <c r="F7" s="30">
        <f t="shared" si="0"/>
        <v>0</v>
      </c>
      <c r="G7" s="40">
        <f t="shared" si="0"/>
        <v>303720.24</v>
      </c>
      <c r="H7" s="40">
        <f t="shared" si="0"/>
        <v>371897.9</v>
      </c>
      <c r="I7" s="31">
        <f t="shared" si="0"/>
        <v>378401.31</v>
      </c>
      <c r="J7" s="31">
        <f t="shared" si="0"/>
        <v>251807.42</v>
      </c>
      <c r="K7" s="31">
        <f t="shared" si="0"/>
        <v>270000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24173.130000000121</v>
      </c>
    </row>
    <row r="9" spans="1:17">
      <c r="B9" s="4" t="s">
        <v>22</v>
      </c>
      <c r="C9" s="68">
        <f>SUM(E7:I7)</f>
        <v>1054019.45</v>
      </c>
    </row>
    <row r="10" spans="1:17">
      <c r="B10" s="38" t="s">
        <v>23</v>
      </c>
      <c r="C10" s="69">
        <f>SUM(J7)</f>
        <v>251807.42</v>
      </c>
    </row>
    <row r="11" spans="1:17">
      <c r="B11" s="5" t="s">
        <v>50</v>
      </c>
      <c r="C11" s="70">
        <f>SUM(K7)</f>
        <v>270000</v>
      </c>
      <c r="J11" s="47"/>
    </row>
    <row r="12" spans="1:17">
      <c r="B12" s="53" t="s">
        <v>51</v>
      </c>
      <c r="C12" s="71">
        <f>SUM(L7:N7)</f>
        <v>0</v>
      </c>
      <c r="J12" s="47"/>
    </row>
    <row r="14" spans="1:17" ht="15" customHeight="1">
      <c r="B14" s="48" t="s">
        <v>32</v>
      </c>
      <c r="C14" s="351" t="s">
        <v>111</v>
      </c>
      <c r="D14" s="351"/>
      <c r="E14" s="351"/>
      <c r="F14" s="351"/>
      <c r="G14" s="351"/>
    </row>
    <row r="27" spans="2:7" ht="30" customHeight="1">
      <c r="B27" s="48" t="s">
        <v>34</v>
      </c>
      <c r="C27" s="351" t="s">
        <v>112</v>
      </c>
      <c r="D27" s="351"/>
      <c r="E27" s="351"/>
      <c r="F27" s="351"/>
      <c r="G27" s="351"/>
    </row>
    <row r="28" spans="2:7" ht="15" customHeight="1">
      <c r="B28" s="48"/>
      <c r="C28" s="50"/>
      <c r="D28" s="50"/>
      <c r="E28" s="50"/>
      <c r="F28" s="50"/>
      <c r="G28" s="50"/>
    </row>
    <row r="29" spans="2:7" ht="30" customHeight="1">
      <c r="B29" s="48" t="s">
        <v>35</v>
      </c>
      <c r="C29" s="351" t="s">
        <v>113</v>
      </c>
      <c r="D29" s="351"/>
      <c r="E29" s="351"/>
      <c r="F29" s="351"/>
      <c r="G29" s="351"/>
    </row>
    <row r="43" spans="2:7" ht="30" customHeight="1">
      <c r="C43" s="351" t="s">
        <v>114</v>
      </c>
      <c r="D43" s="351"/>
      <c r="E43" s="351"/>
      <c r="F43" s="351"/>
      <c r="G43" s="351"/>
    </row>
    <row r="45" spans="2:7">
      <c r="B45" s="48" t="s">
        <v>48</v>
      </c>
      <c r="C45" s="351" t="s">
        <v>115</v>
      </c>
      <c r="D45" s="351"/>
      <c r="E45" s="351"/>
      <c r="F45" s="351"/>
      <c r="G45" s="351"/>
    </row>
    <row r="47" spans="2:7">
      <c r="B47" s="48" t="s">
        <v>52</v>
      </c>
      <c r="C47" s="351" t="s">
        <v>116</v>
      </c>
      <c r="D47" s="351"/>
      <c r="E47" s="351"/>
      <c r="F47" s="351"/>
      <c r="G47" s="351"/>
    </row>
  </sheetData>
  <mergeCells count="6">
    <mergeCell ref="C47:G47"/>
    <mergeCell ref="C14:G14"/>
    <mergeCell ref="C29:G29"/>
    <mergeCell ref="C27:G27"/>
    <mergeCell ref="C43:G43"/>
    <mergeCell ref="C45:G4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52"/>
  <sheetViews>
    <sheetView zoomScaleNormal="100" workbookViewId="0">
      <selection activeCell="B6" sqref="B6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5">
        <v>1101201025</v>
      </c>
      <c r="B6" s="16" t="s">
        <v>30</v>
      </c>
      <c r="C6" s="16" t="s">
        <v>31</v>
      </c>
      <c r="D6" s="42">
        <v>1019000</v>
      </c>
      <c r="E6" s="24">
        <v>0</v>
      </c>
      <c r="F6" s="37">
        <v>0</v>
      </c>
      <c r="G6" s="37">
        <v>0</v>
      </c>
      <c r="H6" s="37">
        <v>0</v>
      </c>
      <c r="I6" s="37">
        <v>0</v>
      </c>
      <c r="J6" s="17">
        <v>0</v>
      </c>
      <c r="K6" s="17">
        <v>320000</v>
      </c>
      <c r="L6" s="17">
        <v>380000</v>
      </c>
      <c r="M6" s="17">
        <v>319000</v>
      </c>
      <c r="N6" s="17"/>
      <c r="O6" s="17"/>
      <c r="P6" s="18"/>
      <c r="Q6" s="26">
        <f>D6-SUM(E6:P6)</f>
        <v>0</v>
      </c>
    </row>
    <row r="7" spans="1:17" ht="15" thickBot="1">
      <c r="A7" s="19"/>
      <c r="B7" s="20"/>
      <c r="C7" s="20"/>
      <c r="D7" s="44">
        <f t="shared" ref="D7:Q7" si="0">SUM(D6:D6)</f>
        <v>1019000</v>
      </c>
      <c r="E7" s="30">
        <f t="shared" si="0"/>
        <v>0</v>
      </c>
      <c r="F7" s="30">
        <f t="shared" si="0"/>
        <v>0</v>
      </c>
      <c r="G7" s="40">
        <f t="shared" si="0"/>
        <v>0</v>
      </c>
      <c r="H7" s="40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320000</v>
      </c>
      <c r="L7" s="31">
        <f t="shared" si="0"/>
        <v>380000</v>
      </c>
      <c r="M7" s="31">
        <f t="shared" si="0"/>
        <v>319000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0</v>
      </c>
    </row>
    <row r="9" spans="1:17">
      <c r="B9" s="4" t="s">
        <v>22</v>
      </c>
      <c r="C9" s="68">
        <f>SUM(E7:H7)</f>
        <v>0</v>
      </c>
    </row>
    <row r="10" spans="1:17">
      <c r="B10" s="38" t="s">
        <v>23</v>
      </c>
      <c r="C10" s="69">
        <f>SUM(I7)</f>
        <v>0</v>
      </c>
    </row>
    <row r="11" spans="1:17">
      <c r="B11" s="5" t="s">
        <v>50</v>
      </c>
      <c r="C11" s="70">
        <f>SUM(J7:M7)</f>
        <v>1019000</v>
      </c>
      <c r="J11" s="47"/>
    </row>
    <row r="12" spans="1:17">
      <c r="B12" s="53" t="s">
        <v>51</v>
      </c>
      <c r="C12" s="71">
        <v>0</v>
      </c>
      <c r="J12" s="47"/>
    </row>
    <row r="14" spans="1:17" ht="15" customHeight="1">
      <c r="B14" s="48" t="s">
        <v>32</v>
      </c>
      <c r="C14" s="351" t="s">
        <v>117</v>
      </c>
      <c r="D14" s="351"/>
      <c r="E14" s="351"/>
      <c r="F14" s="351"/>
      <c r="G14" s="351"/>
    </row>
    <row r="16" spans="1:17">
      <c r="B16" s="48" t="s">
        <v>34</v>
      </c>
      <c r="C16" s="351" t="s">
        <v>119</v>
      </c>
      <c r="D16" s="351"/>
      <c r="E16" s="351"/>
      <c r="F16" s="351"/>
      <c r="G16" s="351"/>
    </row>
    <row r="18" spans="2:7">
      <c r="B18" s="48" t="s">
        <v>35</v>
      </c>
      <c r="C18" s="351" t="s">
        <v>118</v>
      </c>
      <c r="D18" s="351"/>
      <c r="E18" s="351"/>
      <c r="F18" s="351"/>
      <c r="G18" s="351"/>
    </row>
    <row r="30" spans="2:7">
      <c r="C30" s="49" t="s">
        <v>99</v>
      </c>
    </row>
    <row r="32" spans="2:7">
      <c r="B32" s="48" t="s">
        <v>34</v>
      </c>
      <c r="C32" s="351" t="s">
        <v>101</v>
      </c>
      <c r="D32" s="351"/>
      <c r="E32" s="351"/>
      <c r="F32" s="351"/>
      <c r="G32" s="351"/>
    </row>
    <row r="43" spans="2:8" ht="30" customHeight="1">
      <c r="C43" s="351" t="s">
        <v>100</v>
      </c>
      <c r="D43" s="351"/>
      <c r="E43" s="351"/>
      <c r="F43" s="351"/>
      <c r="G43" s="351"/>
      <c r="H43" s="351"/>
    </row>
    <row r="45" spans="2:8" ht="45" customHeight="1">
      <c r="C45" s="351" t="s">
        <v>102</v>
      </c>
      <c r="D45" s="351"/>
      <c r="E45" s="351"/>
      <c r="F45" s="351"/>
      <c r="G45" s="351"/>
      <c r="H45" s="351"/>
    </row>
    <row r="47" spans="2:8">
      <c r="B47" s="48" t="s">
        <v>35</v>
      </c>
      <c r="C47" s="351" t="s">
        <v>92</v>
      </c>
      <c r="D47" s="351"/>
      <c r="E47" s="351"/>
      <c r="F47" s="351"/>
      <c r="G47" s="351"/>
    </row>
    <row r="48" spans="2:8" ht="15" customHeight="1">
      <c r="C48" s="351" t="s">
        <v>103</v>
      </c>
      <c r="D48" s="351"/>
      <c r="E48" s="351"/>
      <c r="F48" s="351"/>
      <c r="G48" s="351"/>
      <c r="H48" s="351"/>
    </row>
    <row r="49" spans="2:8">
      <c r="C49" s="351" t="s">
        <v>104</v>
      </c>
      <c r="D49" s="351"/>
      <c r="E49" s="351"/>
      <c r="F49" s="351"/>
      <c r="G49" s="351"/>
      <c r="H49" s="351"/>
    </row>
    <row r="50" spans="2:8">
      <c r="C50" s="351" t="s">
        <v>105</v>
      </c>
      <c r="D50" s="351"/>
      <c r="E50" s="351"/>
      <c r="F50" s="351"/>
      <c r="G50" s="351"/>
      <c r="H50" s="351"/>
    </row>
    <row r="52" spans="2:8" ht="30" customHeight="1">
      <c r="B52" s="48" t="s">
        <v>48</v>
      </c>
      <c r="C52" s="351" t="s">
        <v>96</v>
      </c>
      <c r="D52" s="351"/>
      <c r="E52" s="351"/>
      <c r="F52" s="351"/>
      <c r="G52" s="351"/>
    </row>
  </sheetData>
  <mergeCells count="11">
    <mergeCell ref="C49:H49"/>
    <mergeCell ref="C50:H50"/>
    <mergeCell ref="C52:G52"/>
    <mergeCell ref="C14:G14"/>
    <mergeCell ref="C32:G32"/>
    <mergeCell ref="C43:H43"/>
    <mergeCell ref="C45:H45"/>
    <mergeCell ref="C47:G47"/>
    <mergeCell ref="C48:H48"/>
    <mergeCell ref="C16:G16"/>
    <mergeCell ref="C18:G18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E931-5222-4E1C-B3B3-3AD71500D6D7}">
  <dimension ref="A1:XEX31"/>
  <sheetViews>
    <sheetView zoomScale="85" zoomScaleNormal="85" zoomScaleSheetLayoutView="85" zoomScalePageLayoutView="55" workbookViewId="0">
      <pane xSplit="4" ySplit="5" topLeftCell="X6" activePane="bottomRight" state="frozen"/>
      <selection pane="topRight" activeCell="H1" sqref="H1"/>
      <selection pane="bottomLeft" activeCell="A6" sqref="A6"/>
      <selection pane="bottomRight" activeCell="Z6" sqref="Z6:AA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13" width="18.6640625" style="51" customWidth="1"/>
    <col min="14" max="15" width="21" style="51" customWidth="1"/>
    <col min="16" max="16" width="20.5546875" style="51" customWidth="1"/>
    <col min="17" max="17" width="20.44140625" style="51" customWidth="1"/>
    <col min="18" max="18" width="21.5546875" style="51" customWidth="1"/>
    <col min="19" max="21" width="18.6640625" style="51" customWidth="1"/>
    <col min="22" max="22" width="22.44140625" style="51" customWidth="1"/>
    <col min="23" max="23" width="22.33203125" style="51" customWidth="1"/>
    <col min="24" max="24" width="21.44140625" style="51" customWidth="1"/>
    <col min="25" max="25" width="22.5546875" style="51" customWidth="1"/>
    <col min="26" max="26" width="22.33203125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1.5546875" style="51" customWidth="1"/>
    <col min="33" max="33" width="22.33203125" style="51" customWidth="1"/>
    <col min="34" max="34" width="21.6640625" style="51" hidden="1" customWidth="1"/>
    <col min="35" max="37" width="18.6640625" style="51" hidden="1" customWidth="1"/>
    <col min="38" max="38" width="21" style="51" hidden="1" customWidth="1"/>
    <col min="39" max="41" width="18.6640625" style="51" hidden="1" customWidth="1"/>
    <col min="42" max="42" width="18.88671875" style="51" hidden="1" customWidth="1"/>
    <col min="43" max="43" width="20" style="51" hidden="1" customWidth="1"/>
    <col min="44" max="45" width="18.6640625" style="51" hidden="1" customWidth="1"/>
    <col min="46" max="46" width="20" style="51" hidden="1" customWidth="1"/>
    <col min="47" max="49" width="18.6640625" style="51" hidden="1" customWidth="1"/>
    <col min="50" max="50" width="20.33203125" style="51" hidden="1" customWidth="1"/>
    <col min="51" max="51" width="5.44140625" style="51" hidden="1" customWidth="1"/>
    <col min="52" max="52" width="27.88671875" style="51" hidden="1" customWidth="1"/>
    <col min="53" max="53" width="24.44140625" style="51" hidden="1" customWidth="1"/>
    <col min="54" max="54" width="25.21875" style="51" customWidth="1"/>
    <col min="55" max="55" width="21.33203125" style="1" customWidth="1"/>
    <col min="56" max="56" width="20.44140625" style="51" customWidth="1"/>
    <col min="57" max="16384" width="9.109375" style="51"/>
  </cols>
  <sheetData>
    <row r="1" spans="1:56 16377:16378" ht="30" customHeight="1" thickBot="1">
      <c r="A1" s="152"/>
      <c r="B1" s="242" t="s">
        <v>270</v>
      </c>
      <c r="C1" s="158"/>
      <c r="D1" s="158"/>
      <c r="E1" s="158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8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AZ1" s="287"/>
      <c r="BA1" s="287"/>
      <c r="BB1" s="287"/>
      <c r="BC1" s="287"/>
    </row>
    <row r="2" spans="1:56 16377:16378" ht="18.600000000000001">
      <c r="A2" s="152"/>
      <c r="B2" s="243">
        <f ca="1">TODAY()</f>
        <v>45848</v>
      </c>
      <c r="F2" s="159"/>
      <c r="G2" s="159"/>
      <c r="H2" s="159"/>
      <c r="I2" s="157"/>
      <c r="J2" s="159"/>
      <c r="K2" s="157"/>
      <c r="L2" s="157"/>
      <c r="M2" s="157"/>
      <c r="P2" s="151"/>
      <c r="Q2" s="151"/>
      <c r="R2" s="151"/>
      <c r="AC2" s="203"/>
      <c r="AD2" s="203"/>
    </row>
    <row r="3" spans="1:56 16377:16378" ht="18.600000000000001" thickBot="1">
      <c r="A3" s="152"/>
      <c r="F3" s="160"/>
      <c r="G3" s="160"/>
      <c r="H3" s="160"/>
      <c r="I3" s="174"/>
      <c r="J3" s="160"/>
      <c r="K3" s="157"/>
      <c r="L3" s="157"/>
      <c r="M3" s="157"/>
      <c r="P3" s="155"/>
      <c r="Q3" s="155"/>
      <c r="R3" s="155"/>
      <c r="AC3" s="203"/>
      <c r="AD3" s="203"/>
    </row>
    <row r="4" spans="1:56 16377:16378" ht="18.75" customHeight="1" thickBot="1">
      <c r="A4" s="309" t="s">
        <v>24</v>
      </c>
      <c r="B4" s="311" t="s">
        <v>234</v>
      </c>
      <c r="C4" s="311" t="s">
        <v>235</v>
      </c>
      <c r="D4" s="313" t="s">
        <v>236</v>
      </c>
      <c r="E4" s="311" t="s">
        <v>311</v>
      </c>
      <c r="F4" s="325" t="s">
        <v>251</v>
      </c>
      <c r="G4" s="324"/>
      <c r="H4" s="324"/>
      <c r="I4" s="326"/>
      <c r="J4" s="324" t="s">
        <v>250</v>
      </c>
      <c r="K4" s="324"/>
      <c r="L4" s="324"/>
      <c r="M4" s="324"/>
      <c r="N4" s="325" t="s">
        <v>252</v>
      </c>
      <c r="O4" s="324"/>
      <c r="P4" s="324"/>
      <c r="Q4" s="326"/>
      <c r="R4" s="325" t="s">
        <v>257</v>
      </c>
      <c r="S4" s="324"/>
      <c r="T4" s="324"/>
      <c r="U4" s="326"/>
      <c r="V4" s="324" t="s">
        <v>258</v>
      </c>
      <c r="W4" s="324"/>
      <c r="X4" s="324"/>
      <c r="Y4" s="324"/>
      <c r="Z4" s="325" t="s">
        <v>259</v>
      </c>
      <c r="AA4" s="324"/>
      <c r="AB4" s="324"/>
      <c r="AC4" s="326"/>
      <c r="AD4" s="325" t="s">
        <v>261</v>
      </c>
      <c r="AE4" s="324"/>
      <c r="AF4" s="324"/>
      <c r="AG4" s="326"/>
      <c r="AH4" s="325" t="s">
        <v>262</v>
      </c>
      <c r="AI4" s="324"/>
      <c r="AJ4" s="324"/>
      <c r="AK4" s="326"/>
      <c r="AL4" s="325" t="s">
        <v>237</v>
      </c>
      <c r="AM4" s="324"/>
      <c r="AN4" s="324"/>
      <c r="AO4" s="326"/>
      <c r="AP4" s="324" t="s">
        <v>238</v>
      </c>
      <c r="AQ4" s="324"/>
      <c r="AR4" s="324"/>
      <c r="AS4" s="326"/>
      <c r="AT4" s="325" t="s">
        <v>239</v>
      </c>
      <c r="AU4" s="324"/>
      <c r="AV4" s="324"/>
      <c r="AW4" s="326"/>
      <c r="AX4" s="325" t="s">
        <v>240</v>
      </c>
      <c r="AY4" s="324"/>
      <c r="AZ4" s="324"/>
      <c r="BA4" s="326"/>
      <c r="BB4" s="222" t="s">
        <v>308</v>
      </c>
      <c r="BC4" s="222" t="s">
        <v>279</v>
      </c>
      <c r="BD4" s="222" t="s">
        <v>309</v>
      </c>
    </row>
    <row r="5" spans="1:56 16377:16378" s="146" customFormat="1" ht="37.5" customHeight="1" thickBot="1">
      <c r="A5" s="310"/>
      <c r="B5" s="312"/>
      <c r="C5" s="312"/>
      <c r="D5" s="314"/>
      <c r="E5" s="312"/>
      <c r="F5" s="173" t="s">
        <v>247</v>
      </c>
      <c r="G5" s="173" t="s">
        <v>246</v>
      </c>
      <c r="H5" s="175" t="s">
        <v>245</v>
      </c>
      <c r="I5" s="175" t="s">
        <v>248</v>
      </c>
      <c r="J5" s="214" t="s">
        <v>247</v>
      </c>
      <c r="K5" s="173" t="s">
        <v>246</v>
      </c>
      <c r="L5" s="175" t="s">
        <v>245</v>
      </c>
      <c r="M5" s="207" t="s">
        <v>248</v>
      </c>
      <c r="N5" s="173" t="s">
        <v>247</v>
      </c>
      <c r="O5" s="173" t="s">
        <v>246</v>
      </c>
      <c r="P5" s="175" t="s">
        <v>245</v>
      </c>
      <c r="Q5" s="175" t="s">
        <v>248</v>
      </c>
      <c r="R5" s="150" t="s">
        <v>241</v>
      </c>
      <c r="S5" s="150" t="s">
        <v>242</v>
      </c>
      <c r="T5" s="278" t="s">
        <v>245</v>
      </c>
      <c r="U5" s="278" t="s">
        <v>248</v>
      </c>
      <c r="V5" s="166" t="s">
        <v>241</v>
      </c>
      <c r="W5" s="150" t="s">
        <v>242</v>
      </c>
      <c r="X5" s="278" t="s">
        <v>245</v>
      </c>
      <c r="Y5" s="278" t="s">
        <v>248</v>
      </c>
      <c r="Z5" s="150" t="s">
        <v>241</v>
      </c>
      <c r="AA5" s="150" t="s">
        <v>242</v>
      </c>
      <c r="AB5" s="175" t="s">
        <v>245</v>
      </c>
      <c r="AC5" s="175" t="s">
        <v>248</v>
      </c>
      <c r="AD5" s="149" t="s">
        <v>241</v>
      </c>
      <c r="AE5" s="156" t="s">
        <v>242</v>
      </c>
      <c r="AF5" s="175" t="s">
        <v>245</v>
      </c>
      <c r="AG5" s="175" t="s">
        <v>248</v>
      </c>
      <c r="AH5" s="149" t="s">
        <v>241</v>
      </c>
      <c r="AI5" s="156" t="s">
        <v>242</v>
      </c>
      <c r="AJ5" s="175" t="s">
        <v>245</v>
      </c>
      <c r="AK5" s="175" t="s">
        <v>248</v>
      </c>
      <c r="AL5" s="149" t="s">
        <v>241</v>
      </c>
      <c r="AM5" s="156" t="s">
        <v>242</v>
      </c>
      <c r="AN5" s="175" t="s">
        <v>245</v>
      </c>
      <c r="AO5" s="175" t="s">
        <v>248</v>
      </c>
      <c r="AP5" s="156" t="s">
        <v>241</v>
      </c>
      <c r="AQ5" s="156" t="s">
        <v>242</v>
      </c>
      <c r="AR5" s="175" t="s">
        <v>245</v>
      </c>
      <c r="AS5" s="175" t="s">
        <v>248</v>
      </c>
      <c r="AT5" s="149" t="s">
        <v>241</v>
      </c>
      <c r="AU5" s="156" t="s">
        <v>242</v>
      </c>
      <c r="AV5" s="175" t="s">
        <v>245</v>
      </c>
      <c r="AW5" s="175" t="s">
        <v>248</v>
      </c>
      <c r="AX5" s="149" t="s">
        <v>241</v>
      </c>
      <c r="AY5" s="156" t="s">
        <v>242</v>
      </c>
      <c r="AZ5" s="175" t="s">
        <v>245</v>
      </c>
      <c r="BA5" s="175" t="s">
        <v>248</v>
      </c>
      <c r="BB5" s="145" t="s">
        <v>243</v>
      </c>
      <c r="BC5" s="145" t="s">
        <v>243</v>
      </c>
      <c r="BD5" s="145" t="s">
        <v>243</v>
      </c>
    </row>
    <row r="6" spans="1:56 16377:16378" s="147" customFormat="1" ht="23.4" customHeight="1">
      <c r="A6" s="168">
        <v>106</v>
      </c>
      <c r="B6" s="239" t="s">
        <v>210</v>
      </c>
      <c r="C6" s="238" t="s">
        <v>214</v>
      </c>
      <c r="D6" s="289" t="s">
        <v>202</v>
      </c>
      <c r="E6" s="227"/>
      <c r="F6" s="220">
        <v>60000</v>
      </c>
      <c r="G6" s="164">
        <v>64536.480000000003</v>
      </c>
      <c r="H6" s="177">
        <v>55569.566439999995</v>
      </c>
      <c r="I6" s="216">
        <v>0</v>
      </c>
      <c r="J6" s="209">
        <v>180000</v>
      </c>
      <c r="K6" s="164">
        <v>136879.4</v>
      </c>
      <c r="L6" s="181">
        <v>119176.21819999999</v>
      </c>
      <c r="M6" s="206">
        <v>0</v>
      </c>
      <c r="N6" s="209">
        <f>525912.47/2</f>
        <v>262956.23499999999</v>
      </c>
      <c r="O6" s="164">
        <v>256655.11</v>
      </c>
      <c r="P6" s="181">
        <v>223168.81433000002</v>
      </c>
      <c r="Q6" s="211">
        <v>0</v>
      </c>
      <c r="R6" s="209">
        <f>490000/2</f>
        <v>245000</v>
      </c>
      <c r="S6" s="164">
        <v>252573.51</v>
      </c>
      <c r="T6" s="279"/>
      <c r="U6" s="280">
        <v>215445.20402999999</v>
      </c>
      <c r="V6" s="209">
        <f>520000/2</f>
        <v>260000</v>
      </c>
      <c r="W6" s="164"/>
      <c r="X6" s="280">
        <v>0</v>
      </c>
      <c r="Y6" s="280">
        <v>0</v>
      </c>
      <c r="Z6" s="209">
        <v>440000</v>
      </c>
      <c r="AA6" s="164"/>
      <c r="AB6" s="181"/>
      <c r="AC6" s="211"/>
      <c r="AD6" s="209"/>
      <c r="AE6" s="164"/>
      <c r="AF6" s="181"/>
      <c r="AG6" s="211"/>
      <c r="AH6" s="209"/>
      <c r="AI6" s="161"/>
      <c r="AJ6" s="211"/>
      <c r="AK6" s="211"/>
      <c r="AL6" s="209"/>
      <c r="AM6" s="209"/>
      <c r="AN6" s="181"/>
      <c r="AO6" s="211"/>
      <c r="AP6" s="209"/>
      <c r="AQ6" s="161"/>
      <c r="AR6" s="181"/>
      <c r="AS6" s="213"/>
      <c r="AT6" s="209"/>
      <c r="AU6" s="161"/>
      <c r="AV6" s="181"/>
      <c r="AW6" s="211"/>
      <c r="AX6" s="209"/>
      <c r="AY6" s="209"/>
      <c r="AZ6" s="181"/>
      <c r="BA6" s="211"/>
      <c r="BB6" s="267">
        <f t="shared" ref="BB6:BC24" si="0">AX6+AT6+AP6+AL6+AH6+AD6+Z6+V6+R6+N6+J6+F6</f>
        <v>1447956.2349999999</v>
      </c>
      <c r="BC6" s="267">
        <f t="shared" si="0"/>
        <v>710644.5</v>
      </c>
      <c r="BD6" s="286">
        <v>204000</v>
      </c>
    </row>
    <row r="7" spans="1:56 16377:16378" s="147" customFormat="1" ht="23.4" customHeight="1">
      <c r="A7" s="172">
        <v>154</v>
      </c>
      <c r="B7" s="236" t="s">
        <v>206</v>
      </c>
      <c r="C7" s="238" t="s">
        <v>219</v>
      </c>
      <c r="D7" s="290" t="s">
        <v>307</v>
      </c>
      <c r="E7" s="229"/>
      <c r="F7" s="220">
        <v>0</v>
      </c>
      <c r="G7" s="164">
        <v>0</v>
      </c>
      <c r="H7" s="177">
        <v>0</v>
      </c>
      <c r="I7" s="216">
        <v>0</v>
      </c>
      <c r="J7" s="277">
        <v>0</v>
      </c>
      <c r="K7" s="181">
        <v>0</v>
      </c>
      <c r="L7" s="181">
        <v>0</v>
      </c>
      <c r="M7" s="206">
        <v>0</v>
      </c>
      <c r="N7" s="209">
        <v>112000</v>
      </c>
      <c r="O7" s="164">
        <v>101780.1</v>
      </c>
      <c r="P7" s="181">
        <v>86513.085000000006</v>
      </c>
      <c r="Q7" s="211">
        <v>0</v>
      </c>
      <c r="R7" s="209">
        <v>125000</v>
      </c>
      <c r="S7" s="164">
        <v>127017.52</v>
      </c>
      <c r="T7" s="279">
        <v>108345.94456</v>
      </c>
      <c r="U7" s="280">
        <v>0</v>
      </c>
      <c r="V7" s="209">
        <v>44000</v>
      </c>
      <c r="W7" s="164">
        <v>54238.35</v>
      </c>
      <c r="X7" s="280">
        <v>46265.312550000002</v>
      </c>
      <c r="Y7" s="280">
        <v>46265.312550000002</v>
      </c>
      <c r="Z7" s="209">
        <v>130000</v>
      </c>
      <c r="AA7" s="164"/>
      <c r="AB7" s="181"/>
      <c r="AC7" s="211"/>
      <c r="AD7" s="209"/>
      <c r="AE7" s="164"/>
      <c r="AF7" s="181"/>
      <c r="AG7" s="211"/>
      <c r="AH7" s="209"/>
      <c r="AI7" s="161"/>
      <c r="AJ7" s="211"/>
      <c r="AK7" s="211"/>
      <c r="AL7" s="209"/>
      <c r="AM7" s="276"/>
      <c r="AN7" s="181"/>
      <c r="AO7" s="211"/>
      <c r="AP7" s="209"/>
      <c r="AQ7" s="161"/>
      <c r="AR7" s="181"/>
      <c r="AS7" s="213"/>
      <c r="AT7" s="209"/>
      <c r="AU7" s="161"/>
      <c r="AV7" s="181"/>
      <c r="AW7" s="211"/>
      <c r="AX7" s="209"/>
      <c r="AY7" s="209"/>
      <c r="AZ7" s="181"/>
      <c r="BA7" s="211"/>
      <c r="BB7" s="267">
        <f t="shared" ref="BB7" si="1">AX7+AT7+AP7+AL7+AH7+AD7+Z7+V7+R7+N7+J7+F7</f>
        <v>411000</v>
      </c>
      <c r="BC7" s="267">
        <f t="shared" ref="BC7" si="2">AY7+AU7+AQ7+AM7+AI7+AE7+AA7+W7+S7+O7+K7+G7</f>
        <v>283035.96999999997</v>
      </c>
      <c r="BD7" s="286">
        <v>0</v>
      </c>
    </row>
    <row r="8" spans="1:56 16377:16378" s="147" customFormat="1" ht="23.4" customHeight="1">
      <c r="A8" s="170">
        <v>159</v>
      </c>
      <c r="B8" s="239" t="s">
        <v>310</v>
      </c>
      <c r="C8" s="240" t="s">
        <v>215</v>
      </c>
      <c r="D8" s="290" t="s">
        <v>204</v>
      </c>
      <c r="E8" s="229"/>
      <c r="F8" s="220">
        <v>300000</v>
      </c>
      <c r="G8" s="164">
        <v>304499.69</v>
      </c>
      <c r="H8" s="177">
        <v>267446.11927000002</v>
      </c>
      <c r="I8" s="216">
        <v>0</v>
      </c>
      <c r="J8" s="220">
        <v>210000</v>
      </c>
      <c r="K8" s="164">
        <v>284806.86613000004</v>
      </c>
      <c r="L8" s="181">
        <v>250060.42846214003</v>
      </c>
      <c r="M8" s="206">
        <v>0</v>
      </c>
      <c r="N8" s="209">
        <v>325000</v>
      </c>
      <c r="O8" s="164">
        <v>317041.77</v>
      </c>
      <c r="P8" s="181">
        <v>279142.27181473502</v>
      </c>
      <c r="Q8" s="211">
        <v>0</v>
      </c>
      <c r="R8" s="209">
        <v>72000</v>
      </c>
      <c r="S8" s="164">
        <v>110093.142589</v>
      </c>
      <c r="T8" s="279">
        <v>96699.25126813534</v>
      </c>
      <c r="U8" s="280">
        <v>0</v>
      </c>
      <c r="V8" s="282">
        <v>90000</v>
      </c>
      <c r="W8" s="283"/>
      <c r="X8" s="284">
        <v>0</v>
      </c>
      <c r="Y8" s="285">
        <v>0</v>
      </c>
      <c r="Z8" s="209">
        <v>12000</v>
      </c>
      <c r="AA8" s="164"/>
      <c r="AB8" s="181"/>
      <c r="AC8" s="211"/>
      <c r="AD8" s="209"/>
      <c r="AE8" s="164"/>
      <c r="AF8" s="181"/>
      <c r="AG8" s="211"/>
      <c r="AH8" s="209"/>
      <c r="AI8" s="161"/>
      <c r="AJ8" s="211"/>
      <c r="AK8" s="211"/>
      <c r="AL8" s="209"/>
      <c r="AM8" s="164"/>
      <c r="AN8" s="185"/>
      <c r="AO8" s="211"/>
      <c r="AP8" s="209"/>
      <c r="AQ8" s="161"/>
      <c r="AR8" s="181"/>
      <c r="AS8" s="211"/>
      <c r="AT8" s="209"/>
      <c r="AU8" s="161"/>
      <c r="AV8" s="181"/>
      <c r="AW8" s="211"/>
      <c r="AX8" s="209"/>
      <c r="AY8" s="209"/>
      <c r="AZ8" s="181"/>
      <c r="BA8" s="211"/>
      <c r="BB8" s="267">
        <f t="shared" si="0"/>
        <v>1009000</v>
      </c>
      <c r="BC8" s="267">
        <f t="shared" si="0"/>
        <v>1016441.468719</v>
      </c>
      <c r="BD8" s="286">
        <f>3723934.02-W8-AA8-AE8</f>
        <v>3723934.02</v>
      </c>
    </row>
    <row r="9" spans="1:56 16377:16378" s="147" customFormat="1" ht="23.4" customHeight="1">
      <c r="A9" s="170">
        <v>162</v>
      </c>
      <c r="B9" s="239" t="s">
        <v>208</v>
      </c>
      <c r="C9" s="240" t="s">
        <v>216</v>
      </c>
      <c r="D9" s="290" t="s">
        <v>203</v>
      </c>
      <c r="E9" s="229"/>
      <c r="F9" s="220">
        <v>71260.850000000006</v>
      </c>
      <c r="G9" s="164">
        <v>71260.850000000006</v>
      </c>
      <c r="H9" s="177">
        <v>62923.330550000006</v>
      </c>
      <c r="I9" s="216">
        <v>0</v>
      </c>
      <c r="J9" s="327" t="s">
        <v>295</v>
      </c>
      <c r="K9" s="328"/>
      <c r="L9" s="328"/>
      <c r="M9" s="329"/>
      <c r="N9" s="327" t="s">
        <v>295</v>
      </c>
      <c r="O9" s="328"/>
      <c r="P9" s="328"/>
      <c r="Q9" s="329"/>
      <c r="R9" s="297" t="s">
        <v>295</v>
      </c>
      <c r="S9" s="298"/>
      <c r="T9" s="298"/>
      <c r="U9" s="299"/>
      <c r="V9" s="297" t="s">
        <v>295</v>
      </c>
      <c r="W9" s="298"/>
      <c r="X9" s="298"/>
      <c r="Y9" s="299"/>
      <c r="Z9" s="297" t="s">
        <v>295</v>
      </c>
      <c r="AA9" s="298"/>
      <c r="AB9" s="298"/>
      <c r="AC9" s="299"/>
      <c r="AD9" s="297" t="s">
        <v>295</v>
      </c>
      <c r="AE9" s="298"/>
      <c r="AF9" s="298"/>
      <c r="AG9" s="299"/>
      <c r="AH9" s="327" t="s">
        <v>295</v>
      </c>
      <c r="AI9" s="328"/>
      <c r="AJ9" s="328"/>
      <c r="AK9" s="329"/>
      <c r="AL9" s="327" t="s">
        <v>295</v>
      </c>
      <c r="AM9" s="328"/>
      <c r="AN9" s="328"/>
      <c r="AO9" s="329"/>
      <c r="AP9" s="327" t="s">
        <v>295</v>
      </c>
      <c r="AQ9" s="328"/>
      <c r="AR9" s="328"/>
      <c r="AS9" s="329"/>
      <c r="AT9" s="327" t="s">
        <v>295</v>
      </c>
      <c r="AU9" s="328"/>
      <c r="AV9" s="328"/>
      <c r="AW9" s="329"/>
      <c r="AX9" s="327" t="s">
        <v>295</v>
      </c>
      <c r="AY9" s="328"/>
      <c r="AZ9" s="328"/>
      <c r="BA9" s="329"/>
      <c r="BB9" s="267">
        <f>F9</f>
        <v>71260.850000000006</v>
      </c>
      <c r="BC9" s="267">
        <f t="shared" si="0"/>
        <v>71260.850000000006</v>
      </c>
      <c r="BD9" s="286">
        <v>0</v>
      </c>
    </row>
    <row r="10" spans="1:56 16377:16378" s="147" customFormat="1" ht="23.4" customHeight="1">
      <c r="A10" s="170">
        <v>174</v>
      </c>
      <c r="B10" s="236" t="s">
        <v>226</v>
      </c>
      <c r="C10" s="240" t="s">
        <v>222</v>
      </c>
      <c r="D10" s="290" t="s">
        <v>307</v>
      </c>
      <c r="E10" s="229"/>
      <c r="F10" s="220">
        <v>0</v>
      </c>
      <c r="G10" s="164">
        <v>0</v>
      </c>
      <c r="H10" s="177">
        <v>0</v>
      </c>
      <c r="I10" s="216">
        <v>0</v>
      </c>
      <c r="J10" s="220">
        <v>225000</v>
      </c>
      <c r="K10" s="164">
        <v>202289.83</v>
      </c>
      <c r="L10" s="206">
        <v>177003.60124999998</v>
      </c>
      <c r="M10" s="206">
        <v>0</v>
      </c>
      <c r="N10" s="209">
        <v>251000</v>
      </c>
      <c r="O10" s="164">
        <v>268315.96999999997</v>
      </c>
      <c r="P10" s="211">
        <v>234776.47374999998</v>
      </c>
      <c r="Q10" s="211">
        <v>0</v>
      </c>
      <c r="R10" s="209">
        <v>239000</v>
      </c>
      <c r="S10" s="164">
        <v>354792.61</v>
      </c>
      <c r="T10" s="279">
        <v>310443.53375</v>
      </c>
      <c r="U10" s="280">
        <v>0</v>
      </c>
      <c r="V10" s="209">
        <v>175000</v>
      </c>
      <c r="W10" s="164">
        <v>211010.78999999998</v>
      </c>
      <c r="X10" s="281">
        <v>0</v>
      </c>
      <c r="Y10" s="280">
        <v>184634.44124999997</v>
      </c>
      <c r="Z10" s="209">
        <v>200000</v>
      </c>
      <c r="AA10" s="164"/>
      <c r="AB10" s="181"/>
      <c r="AC10" s="211"/>
      <c r="AD10" s="209"/>
      <c r="AE10" s="164"/>
      <c r="AF10" s="181"/>
      <c r="AG10" s="211"/>
      <c r="AH10" s="209"/>
      <c r="AI10" s="161"/>
      <c r="AJ10" s="211"/>
      <c r="AK10" s="211"/>
      <c r="AL10" s="209"/>
      <c r="AM10" s="164"/>
      <c r="AN10" s="185"/>
      <c r="AO10" s="211"/>
      <c r="AP10" s="209"/>
      <c r="AQ10" s="161"/>
      <c r="AR10" s="180"/>
      <c r="AS10" s="213"/>
      <c r="AT10" s="209"/>
      <c r="AU10" s="161"/>
      <c r="AV10" s="181"/>
      <c r="AW10" s="211"/>
      <c r="AX10" s="209"/>
      <c r="AY10" s="209"/>
      <c r="AZ10" s="181"/>
      <c r="BA10" s="211"/>
      <c r="BB10" s="267">
        <f t="shared" si="0"/>
        <v>1090000</v>
      </c>
      <c r="BC10" s="267">
        <f t="shared" si="0"/>
        <v>1036409.1999999998</v>
      </c>
      <c r="BD10" s="286">
        <f>0-AA10-AE10</f>
        <v>0</v>
      </c>
    </row>
    <row r="11" spans="1:56 16377:16378" s="147" customFormat="1" ht="23.4" customHeight="1">
      <c r="A11" s="170">
        <v>175</v>
      </c>
      <c r="B11" s="239" t="s">
        <v>224</v>
      </c>
      <c r="C11" s="240" t="s">
        <v>217</v>
      </c>
      <c r="D11" s="291" t="s">
        <v>225</v>
      </c>
      <c r="E11" s="226"/>
      <c r="F11" s="220">
        <v>0</v>
      </c>
      <c r="G11" s="164">
        <v>0</v>
      </c>
      <c r="H11" s="177">
        <v>0</v>
      </c>
      <c r="I11" s="216">
        <v>0</v>
      </c>
      <c r="J11" s="220">
        <v>180000</v>
      </c>
      <c r="K11" s="164">
        <v>455576.86</v>
      </c>
      <c r="L11" s="181">
        <v>427331.09467999998</v>
      </c>
      <c r="M11" s="206">
        <v>0</v>
      </c>
      <c r="N11" s="209">
        <v>42000</v>
      </c>
      <c r="O11" s="164">
        <v>673708.62</v>
      </c>
      <c r="P11" s="211">
        <f>N11*0.9215</f>
        <v>38703</v>
      </c>
      <c r="Q11" s="211">
        <v>0</v>
      </c>
      <c r="R11" s="209">
        <v>445485.93</v>
      </c>
      <c r="S11" s="164">
        <v>445485.93</v>
      </c>
      <c r="T11" s="279">
        <v>417865.80233999999</v>
      </c>
      <c r="U11" s="280">
        <v>0</v>
      </c>
      <c r="V11" s="209">
        <v>450000</v>
      </c>
      <c r="W11" s="164">
        <v>1044732.9</v>
      </c>
      <c r="X11" s="281">
        <v>0</v>
      </c>
      <c r="Y11" s="280">
        <v>979959.46019999997</v>
      </c>
      <c r="Z11" s="209">
        <v>175000</v>
      </c>
      <c r="AA11" s="164"/>
      <c r="AB11" s="181"/>
      <c r="AC11" s="211"/>
      <c r="AD11" s="209"/>
      <c r="AE11" s="164"/>
      <c r="AF11" s="181"/>
      <c r="AG11" s="211"/>
      <c r="AH11" s="209"/>
      <c r="AI11" s="161"/>
      <c r="AJ11" s="181"/>
      <c r="AK11" s="211"/>
      <c r="AL11" s="209"/>
      <c r="AM11" s="164"/>
      <c r="AN11" s="185"/>
      <c r="AO11" s="211"/>
      <c r="AP11" s="209"/>
      <c r="AQ11" s="164"/>
      <c r="AR11" s="181"/>
      <c r="AS11" s="211"/>
      <c r="AT11" s="209"/>
      <c r="AU11" s="161"/>
      <c r="AV11" s="181"/>
      <c r="AW11" s="211"/>
      <c r="AX11" s="209"/>
      <c r="AY11" s="209"/>
      <c r="AZ11" s="181"/>
      <c r="BA11" s="211"/>
      <c r="BB11" s="267">
        <f t="shared" si="0"/>
        <v>1292485.93</v>
      </c>
      <c r="BC11" s="267">
        <f t="shared" si="0"/>
        <v>2619504.31</v>
      </c>
      <c r="BD11" s="286">
        <f>0-AA11-AE11</f>
        <v>0</v>
      </c>
    </row>
    <row r="12" spans="1:56 16377:16378" s="147" customFormat="1" ht="23.4" customHeight="1">
      <c r="A12" s="170">
        <v>183</v>
      </c>
      <c r="B12" s="239" t="s">
        <v>232</v>
      </c>
      <c r="C12" s="240" t="s">
        <v>217</v>
      </c>
      <c r="D12" s="290" t="s">
        <v>225</v>
      </c>
      <c r="E12" s="229"/>
      <c r="F12" s="220">
        <v>155000</v>
      </c>
      <c r="G12" s="164">
        <v>155086.68</v>
      </c>
      <c r="H12" s="177">
        <v>145471.30584000002</v>
      </c>
      <c r="I12" s="216">
        <v>0</v>
      </c>
      <c r="J12" s="220">
        <v>78000</v>
      </c>
      <c r="K12" s="164">
        <v>80177.17</v>
      </c>
      <c r="L12" s="206">
        <v>75206.185459999993</v>
      </c>
      <c r="M12" s="206">
        <v>0</v>
      </c>
      <c r="N12" s="220">
        <v>158024.29</v>
      </c>
      <c r="O12" s="164">
        <v>148226.78</v>
      </c>
      <c r="P12" s="164">
        <v>148226.78</v>
      </c>
      <c r="Q12" s="211">
        <v>0</v>
      </c>
      <c r="R12" s="209">
        <v>120000</v>
      </c>
      <c r="S12" s="164">
        <v>210261.44</v>
      </c>
      <c r="T12" s="279">
        <v>197225.23071999999</v>
      </c>
      <c r="U12" s="280">
        <v>0</v>
      </c>
      <c r="V12" s="209">
        <v>0</v>
      </c>
      <c r="W12" s="164">
        <v>0</v>
      </c>
      <c r="X12" s="281">
        <v>0</v>
      </c>
      <c r="Y12" s="280">
        <v>0</v>
      </c>
      <c r="Z12" s="209">
        <v>120000</v>
      </c>
      <c r="AA12" s="164"/>
      <c r="AB12" s="181"/>
      <c r="AC12" s="211"/>
      <c r="AD12" s="209"/>
      <c r="AE12" s="162"/>
      <c r="AF12" s="181"/>
      <c r="AG12" s="211"/>
      <c r="AH12" s="209"/>
      <c r="AI12" s="161"/>
      <c r="AJ12" s="181"/>
      <c r="AK12" s="211"/>
      <c r="AL12" s="209"/>
      <c r="AM12" s="164"/>
      <c r="AN12" s="185"/>
      <c r="AO12" s="211"/>
      <c r="AP12" s="209"/>
      <c r="AQ12" s="161"/>
      <c r="AR12" s="180"/>
      <c r="AS12" s="213"/>
      <c r="AT12" s="209"/>
      <c r="AU12" s="161"/>
      <c r="AV12" s="181"/>
      <c r="AW12" s="211"/>
      <c r="AX12" s="209"/>
      <c r="AY12" s="209"/>
      <c r="AZ12" s="181"/>
      <c r="BA12" s="211"/>
      <c r="BB12" s="267">
        <f t="shared" si="0"/>
        <v>631024.29</v>
      </c>
      <c r="BC12" s="267">
        <f t="shared" si="0"/>
        <v>593752.06999999995</v>
      </c>
      <c r="BD12" s="286">
        <f>0-AA12-AE12</f>
        <v>0</v>
      </c>
    </row>
    <row r="13" spans="1:56 16377:16378" s="147" customFormat="1" ht="23.25" customHeight="1">
      <c r="A13" s="170">
        <v>184</v>
      </c>
      <c r="B13" s="239" t="s">
        <v>266</v>
      </c>
      <c r="C13" s="240" t="s">
        <v>230</v>
      </c>
      <c r="D13" s="290" t="s">
        <v>231</v>
      </c>
      <c r="E13" s="229"/>
      <c r="F13" s="220">
        <v>170000</v>
      </c>
      <c r="G13" s="164">
        <v>229170.85</v>
      </c>
      <c r="H13" s="216">
        <v>206139.17957499999</v>
      </c>
      <c r="I13" s="216">
        <v>0</v>
      </c>
      <c r="J13" s="209">
        <v>200000</v>
      </c>
      <c r="K13" s="164">
        <v>301941.38</v>
      </c>
      <c r="L13" s="181">
        <v>271596.27131000004</v>
      </c>
      <c r="M13" s="206">
        <v>0</v>
      </c>
      <c r="N13" s="220">
        <v>300000</v>
      </c>
      <c r="O13" s="164">
        <v>293768.77751548996</v>
      </c>
      <c r="P13" s="181">
        <v>264245.01537518325</v>
      </c>
      <c r="Q13" s="211">
        <v>0</v>
      </c>
      <c r="R13" s="221">
        <v>500000</v>
      </c>
      <c r="S13" s="164">
        <v>523177.87407679996</v>
      </c>
      <c r="T13" s="279">
        <v>470598.49773208157</v>
      </c>
      <c r="U13" s="280">
        <v>0</v>
      </c>
      <c r="V13" s="209">
        <v>400000</v>
      </c>
      <c r="W13" s="164">
        <v>128994.7340768</v>
      </c>
      <c r="X13" s="281">
        <v>0</v>
      </c>
      <c r="Y13" s="280">
        <v>116030.7633020816</v>
      </c>
      <c r="Z13" s="209">
        <v>250000</v>
      </c>
      <c r="AA13" s="164"/>
      <c r="AB13" s="181"/>
      <c r="AC13" s="211"/>
      <c r="AD13" s="209">
        <v>883145.6</v>
      </c>
      <c r="AE13" s="164"/>
      <c r="AF13" s="181"/>
      <c r="AG13" s="211"/>
      <c r="AH13" s="209"/>
      <c r="AI13" s="161"/>
      <c r="AJ13" s="211"/>
      <c r="AK13" s="211"/>
      <c r="AL13" s="209"/>
      <c r="AM13" s="164"/>
      <c r="AN13" s="185"/>
      <c r="AO13" s="211"/>
      <c r="AP13" s="209"/>
      <c r="AQ13" s="161"/>
      <c r="AR13" s="180"/>
      <c r="AS13" s="213"/>
      <c r="AT13" s="209"/>
      <c r="AU13" s="161"/>
      <c r="AV13" s="181"/>
      <c r="AW13" s="211"/>
      <c r="AX13" s="209"/>
      <c r="AY13" s="209"/>
      <c r="AZ13" s="181"/>
      <c r="BA13" s="211"/>
      <c r="BB13" s="267">
        <f t="shared" si="0"/>
        <v>2703145.6</v>
      </c>
      <c r="BC13" s="267">
        <f t="shared" si="0"/>
        <v>1477053.6156690901</v>
      </c>
      <c r="BD13" s="286">
        <f>0-AA13-AE13</f>
        <v>0</v>
      </c>
    </row>
    <row r="14" spans="1:56 16377:16378" s="147" customFormat="1" ht="23.4" customHeight="1">
      <c r="A14" s="170">
        <v>184</v>
      </c>
      <c r="B14" s="239" t="s">
        <v>269</v>
      </c>
      <c r="C14" s="240" t="s">
        <v>230</v>
      </c>
      <c r="D14" s="290" t="s">
        <v>231</v>
      </c>
      <c r="E14" s="229"/>
      <c r="F14" s="220">
        <v>75000</v>
      </c>
      <c r="G14" s="164">
        <v>38973.51</v>
      </c>
      <c r="H14" s="177">
        <v>35056.672244999994</v>
      </c>
      <c r="I14" s="216">
        <v>0</v>
      </c>
      <c r="J14" s="209">
        <v>90000</v>
      </c>
      <c r="K14" s="164">
        <v>133602.84000000003</v>
      </c>
      <c r="L14" s="206">
        <v>120175.75458000001</v>
      </c>
      <c r="M14" s="206">
        <v>0</v>
      </c>
      <c r="N14" s="220">
        <v>140000</v>
      </c>
      <c r="O14" s="164">
        <v>145579.558735225</v>
      </c>
      <c r="P14" s="181">
        <v>130948.81308233488</v>
      </c>
      <c r="Q14" s="211">
        <v>0</v>
      </c>
      <c r="R14" s="221">
        <v>265000</v>
      </c>
      <c r="S14" s="196">
        <v>274123.785965905</v>
      </c>
      <c r="T14" s="281">
        <v>246574.34547633154</v>
      </c>
      <c r="U14" s="280">
        <v>0</v>
      </c>
      <c r="V14" s="209">
        <v>250000</v>
      </c>
      <c r="W14" s="164"/>
      <c r="X14" s="281">
        <v>0</v>
      </c>
      <c r="Y14" s="280">
        <v>0</v>
      </c>
      <c r="Z14" s="209">
        <v>150000</v>
      </c>
      <c r="AA14" s="164"/>
      <c r="AB14" s="181"/>
      <c r="AC14" s="211"/>
      <c r="AD14" s="209">
        <v>543354.46</v>
      </c>
      <c r="AE14" s="164"/>
      <c r="AF14" s="181"/>
      <c r="AG14" s="211"/>
      <c r="AH14" s="209"/>
      <c r="AI14" s="161"/>
      <c r="AJ14" s="211"/>
      <c r="AK14" s="211"/>
      <c r="AL14" s="209"/>
      <c r="AM14" s="164"/>
      <c r="AN14" s="185"/>
      <c r="AO14" s="211"/>
      <c r="AP14" s="209"/>
      <c r="AQ14" s="161"/>
      <c r="AR14" s="180"/>
      <c r="AS14" s="213"/>
      <c r="AT14" s="209"/>
      <c r="AU14" s="161"/>
      <c r="AV14" s="181"/>
      <c r="AW14" s="211"/>
      <c r="AX14" s="209"/>
      <c r="AY14" s="209"/>
      <c r="AZ14" s="181"/>
      <c r="BA14" s="211"/>
      <c r="BB14" s="267">
        <f t="shared" si="0"/>
        <v>1513354.46</v>
      </c>
      <c r="BC14" s="267">
        <f t="shared" si="0"/>
        <v>592279.69470113004</v>
      </c>
      <c r="BD14" s="286">
        <f>0-AA14-AE14</f>
        <v>0</v>
      </c>
    </row>
    <row r="15" spans="1:56 16377:16378" s="147" customFormat="1" ht="23.25" customHeight="1">
      <c r="A15" s="170">
        <v>192</v>
      </c>
      <c r="B15" s="239" t="s">
        <v>260</v>
      </c>
      <c r="C15" s="241" t="s">
        <v>219</v>
      </c>
      <c r="D15" s="290" t="s">
        <v>307</v>
      </c>
      <c r="E15" s="229"/>
      <c r="F15" s="220">
        <f>125000+358000</f>
        <v>483000</v>
      </c>
      <c r="G15" s="164">
        <v>466923.75</v>
      </c>
      <c r="H15" s="177">
        <v>419297.52749999997</v>
      </c>
      <c r="I15" s="216">
        <v>0</v>
      </c>
      <c r="J15" s="277">
        <v>115000</v>
      </c>
      <c r="K15" s="164">
        <v>172820.85</v>
      </c>
      <c r="L15" s="206">
        <v>155193.12390000001</v>
      </c>
      <c r="M15" s="206">
        <v>0</v>
      </c>
      <c r="N15" s="220">
        <v>150000</v>
      </c>
      <c r="O15" s="164">
        <v>92181.72</v>
      </c>
      <c r="P15" s="181"/>
      <c r="Q15" s="211">
        <v>82779.18406</v>
      </c>
      <c r="R15" s="209">
        <v>175000</v>
      </c>
      <c r="S15" s="164">
        <f>309222.3+30248.16</f>
        <v>339470.45999999996</v>
      </c>
      <c r="T15" s="281">
        <v>304844.47207999998</v>
      </c>
      <c r="U15" s="280">
        <v>0</v>
      </c>
      <c r="V15" s="209">
        <v>150000</v>
      </c>
      <c r="W15" s="164"/>
      <c r="X15" s="281">
        <v>0</v>
      </c>
      <c r="Y15" s="280">
        <v>0</v>
      </c>
      <c r="Z15" s="209">
        <v>50000</v>
      </c>
      <c r="AA15" s="164"/>
      <c r="AB15" s="181"/>
      <c r="AC15" s="211"/>
      <c r="AD15" s="209"/>
      <c r="AE15" s="164"/>
      <c r="AF15" s="181"/>
      <c r="AG15" s="211"/>
      <c r="AH15" s="209"/>
      <c r="AI15" s="164"/>
      <c r="AJ15" s="211"/>
      <c r="AK15" s="211"/>
      <c r="AL15" s="209"/>
      <c r="AM15" s="164"/>
      <c r="AN15" s="185"/>
      <c r="AO15" s="211"/>
      <c r="AP15" s="209"/>
      <c r="AQ15" s="209"/>
      <c r="AR15" s="209"/>
      <c r="AS15" s="209"/>
      <c r="AT15" s="209"/>
      <c r="AU15" s="161"/>
      <c r="AV15" s="181"/>
      <c r="AW15" s="211"/>
      <c r="AX15" s="209"/>
      <c r="AY15" s="209"/>
      <c r="AZ15" s="181"/>
      <c r="BA15" s="211"/>
      <c r="BB15" s="267">
        <f t="shared" si="0"/>
        <v>1123000</v>
      </c>
      <c r="BC15" s="267">
        <f t="shared" si="0"/>
        <v>1071396.7799999998</v>
      </c>
      <c r="BD15" s="286">
        <f>0-AA15-AE15</f>
        <v>0</v>
      </c>
      <c r="XEW15" s="170"/>
      <c r="XEX15" s="171"/>
    </row>
    <row r="16" spans="1:56 16377:16378" s="147" customFormat="1" ht="28.5" customHeight="1">
      <c r="A16" s="170">
        <v>202</v>
      </c>
      <c r="B16" s="239" t="s">
        <v>263</v>
      </c>
      <c r="C16" s="240" t="s">
        <v>219</v>
      </c>
      <c r="D16" s="290" t="s">
        <v>307</v>
      </c>
      <c r="E16" s="229"/>
      <c r="F16" s="220">
        <v>0</v>
      </c>
      <c r="G16" s="164">
        <v>0</v>
      </c>
      <c r="H16" s="177">
        <v>0</v>
      </c>
      <c r="I16" s="216">
        <v>0</v>
      </c>
      <c r="J16" s="209">
        <v>0</v>
      </c>
      <c r="K16" s="164">
        <v>0</v>
      </c>
      <c r="L16" s="181"/>
      <c r="M16" s="206">
        <v>0</v>
      </c>
      <c r="N16" s="220">
        <v>0</v>
      </c>
      <c r="O16" s="164">
        <v>0</v>
      </c>
      <c r="P16" s="181">
        <v>0</v>
      </c>
      <c r="Q16" s="211">
        <v>0</v>
      </c>
      <c r="R16" s="209">
        <v>22000</v>
      </c>
      <c r="S16" s="164">
        <v>30283.15</v>
      </c>
      <c r="T16" s="281">
        <v>25831.526949999999</v>
      </c>
      <c r="U16" s="280">
        <v>0</v>
      </c>
      <c r="V16" s="209">
        <v>0</v>
      </c>
      <c r="W16" s="164">
        <v>0</v>
      </c>
      <c r="X16" s="281">
        <v>0</v>
      </c>
      <c r="Y16" s="280">
        <v>0</v>
      </c>
      <c r="Z16" s="209">
        <v>25000</v>
      </c>
      <c r="AA16" s="164"/>
      <c r="AB16" s="181"/>
      <c r="AC16" s="211"/>
      <c r="AD16" s="209"/>
      <c r="AE16" s="164"/>
      <c r="AF16" s="180"/>
      <c r="AG16" s="213"/>
      <c r="AH16" s="209"/>
      <c r="AI16" s="164"/>
      <c r="AJ16" s="211"/>
      <c r="AK16" s="211"/>
      <c r="AL16" s="209"/>
      <c r="AM16" s="164"/>
      <c r="AN16" s="181"/>
      <c r="AO16" s="211"/>
      <c r="AP16" s="209"/>
      <c r="AQ16" s="161"/>
      <c r="AR16" s="181"/>
      <c r="AS16" s="211"/>
      <c r="AT16" s="209"/>
      <c r="AU16" s="161"/>
      <c r="AV16" s="181"/>
      <c r="AW16" s="211"/>
      <c r="AX16" s="209"/>
      <c r="AY16" s="209"/>
      <c r="AZ16" s="181"/>
      <c r="BA16" s="211"/>
      <c r="BB16" s="267">
        <f t="shared" si="0"/>
        <v>47000</v>
      </c>
      <c r="BC16" s="267">
        <f t="shared" si="0"/>
        <v>30283.15</v>
      </c>
      <c r="BD16" s="286">
        <f>0-AA16-AE16</f>
        <v>0</v>
      </c>
    </row>
    <row r="17" spans="1:56" s="147" customFormat="1" ht="28.5" customHeight="1">
      <c r="A17" s="170">
        <v>208</v>
      </c>
      <c r="B17" s="239" t="s">
        <v>284</v>
      </c>
      <c r="C17" s="240" t="s">
        <v>215</v>
      </c>
      <c r="D17" s="290" t="s">
        <v>231</v>
      </c>
      <c r="E17" s="229"/>
      <c r="F17" s="220">
        <v>29000</v>
      </c>
      <c r="G17" s="164">
        <f>29868.19+493.93</f>
        <v>30362.12</v>
      </c>
      <c r="H17" s="216">
        <f>27538.47118+455.5</f>
        <v>27993.97118</v>
      </c>
      <c r="I17" s="216">
        <v>0</v>
      </c>
      <c r="J17" s="209">
        <v>110000</v>
      </c>
      <c r="K17" s="164">
        <f>68810.24+1172</f>
        <v>69982.240000000005</v>
      </c>
      <c r="L17" s="206">
        <f>63443.04128+1080.58</f>
        <v>64523.621279999999</v>
      </c>
      <c r="M17" s="206">
        <v>0</v>
      </c>
      <c r="N17" s="220">
        <v>1370000</v>
      </c>
      <c r="O17" s="164">
        <f>1377577.14+19566.47</f>
        <v>1397143.6099999999</v>
      </c>
      <c r="P17" s="211">
        <v>1276632.0890738224</v>
      </c>
      <c r="Q17" s="211">
        <v>0</v>
      </c>
      <c r="R17" s="209">
        <v>374000</v>
      </c>
      <c r="S17" s="164">
        <v>373407.7182</v>
      </c>
      <c r="T17" s="281">
        <v>335880.24252089998</v>
      </c>
      <c r="U17" s="280">
        <v>0</v>
      </c>
      <c r="V17" s="209">
        <v>350000</v>
      </c>
      <c r="W17" s="164">
        <v>327098.08</v>
      </c>
      <c r="X17" s="279">
        <v>0</v>
      </c>
      <c r="Y17" s="280">
        <v>294224.72296000004</v>
      </c>
      <c r="Z17" s="209">
        <v>577754</v>
      </c>
      <c r="AA17" s="164"/>
      <c r="AB17" s="181"/>
      <c r="AC17" s="211"/>
      <c r="AD17" s="209"/>
      <c r="AE17" s="164"/>
      <c r="AF17" s="180"/>
      <c r="AG17" s="213"/>
      <c r="AH17" s="209"/>
      <c r="AI17" s="164"/>
      <c r="AJ17" s="211"/>
      <c r="AK17" s="211"/>
      <c r="AL17" s="209"/>
      <c r="AM17" s="164"/>
      <c r="AN17" s="181"/>
      <c r="AO17" s="211"/>
      <c r="AP17" s="209"/>
      <c r="AQ17" s="161"/>
      <c r="AR17" s="181"/>
      <c r="AS17" s="211"/>
      <c r="AT17" s="209"/>
      <c r="AU17" s="161"/>
      <c r="AV17" s="181"/>
      <c r="AW17" s="211"/>
      <c r="AX17" s="209"/>
      <c r="AY17" s="209"/>
      <c r="AZ17" s="181"/>
      <c r="BA17" s="211"/>
      <c r="BB17" s="267">
        <f t="shared" si="0"/>
        <v>2810754</v>
      </c>
      <c r="BC17" s="267">
        <f t="shared" si="0"/>
        <v>2197993.7682000003</v>
      </c>
      <c r="BD17" s="286">
        <f>3613840.88-W17-AA17-AE17</f>
        <v>3286742.8</v>
      </c>
    </row>
    <row r="18" spans="1:56" s="147" customFormat="1" ht="28.5" customHeight="1">
      <c r="A18" s="170">
        <v>215</v>
      </c>
      <c r="B18" s="239" t="s">
        <v>296</v>
      </c>
      <c r="C18" s="240" t="s">
        <v>219</v>
      </c>
      <c r="D18" s="290" t="s">
        <v>231</v>
      </c>
      <c r="E18" s="229"/>
      <c r="F18" s="220"/>
      <c r="G18" s="164"/>
      <c r="H18" s="216"/>
      <c r="I18" s="216"/>
      <c r="J18" s="209"/>
      <c r="K18" s="164"/>
      <c r="L18" s="206"/>
      <c r="M18" s="206"/>
      <c r="N18" s="220">
        <v>0</v>
      </c>
      <c r="O18" s="164">
        <v>0</v>
      </c>
      <c r="P18" s="181">
        <v>0</v>
      </c>
      <c r="Q18" s="211">
        <v>0</v>
      </c>
      <c r="R18" s="209">
        <v>300000</v>
      </c>
      <c r="S18" s="164">
        <v>273622.57</v>
      </c>
      <c r="T18" s="281">
        <v>246123.50171499999</v>
      </c>
      <c r="U18" s="280">
        <v>0</v>
      </c>
      <c r="V18" s="209">
        <v>5000</v>
      </c>
      <c r="W18" s="164">
        <v>7295.8399999999992</v>
      </c>
      <c r="X18" s="279">
        <v>0</v>
      </c>
      <c r="Y18" s="280">
        <v>6367.5835200000001</v>
      </c>
      <c r="Z18" s="209">
        <v>5000</v>
      </c>
      <c r="AA18" s="164"/>
      <c r="AB18" s="181"/>
      <c r="AC18" s="211"/>
      <c r="AD18" s="209"/>
      <c r="AE18" s="164"/>
      <c r="AF18" s="180"/>
      <c r="AG18" s="213"/>
      <c r="AH18" s="209"/>
      <c r="AI18" s="164"/>
      <c r="AJ18" s="211"/>
      <c r="AK18" s="211"/>
      <c r="AL18" s="209"/>
      <c r="AM18" s="164"/>
      <c r="AN18" s="181"/>
      <c r="AO18" s="211"/>
      <c r="AP18" s="209"/>
      <c r="AQ18" s="161"/>
      <c r="AR18" s="181"/>
      <c r="AS18" s="211"/>
      <c r="AT18" s="209"/>
      <c r="AU18" s="161"/>
      <c r="AV18" s="181"/>
      <c r="AW18" s="211"/>
      <c r="AX18" s="209"/>
      <c r="AY18" s="209"/>
      <c r="AZ18" s="181"/>
      <c r="BA18" s="211"/>
      <c r="BB18" s="267">
        <f t="shared" si="0"/>
        <v>310000</v>
      </c>
      <c r="BC18" s="267">
        <f t="shared" si="0"/>
        <v>280918.41000000003</v>
      </c>
      <c r="BD18" s="286">
        <f>700000-S18-W18-AA18-AE18</f>
        <v>419081.58999999997</v>
      </c>
    </row>
    <row r="19" spans="1:56" s="147" customFormat="1" ht="28.5" customHeight="1">
      <c r="A19" s="170">
        <v>216</v>
      </c>
      <c r="B19" s="239" t="s">
        <v>297</v>
      </c>
      <c r="C19" s="240" t="s">
        <v>217</v>
      </c>
      <c r="D19" s="290"/>
      <c r="E19" s="229"/>
      <c r="F19" s="220"/>
      <c r="G19" s="164"/>
      <c r="H19" s="216"/>
      <c r="I19" s="216"/>
      <c r="J19" s="209"/>
      <c r="K19" s="164"/>
      <c r="L19" s="206"/>
      <c r="M19" s="206"/>
      <c r="N19" s="220">
        <v>0</v>
      </c>
      <c r="O19" s="164">
        <v>0</v>
      </c>
      <c r="P19" s="181">
        <v>0</v>
      </c>
      <c r="Q19" s="211">
        <v>0</v>
      </c>
      <c r="R19" s="209">
        <v>0</v>
      </c>
      <c r="S19" s="164">
        <v>0</v>
      </c>
      <c r="T19" s="281">
        <v>0</v>
      </c>
      <c r="U19" s="280">
        <v>0</v>
      </c>
      <c r="V19" s="209">
        <v>0</v>
      </c>
      <c r="W19" s="164">
        <v>0</v>
      </c>
      <c r="X19" s="279">
        <v>0</v>
      </c>
      <c r="Y19" s="280">
        <v>0</v>
      </c>
      <c r="Z19" s="209">
        <v>0</v>
      </c>
      <c r="AA19" s="164"/>
      <c r="AB19" s="181"/>
      <c r="AC19" s="211"/>
      <c r="AD19" s="209"/>
      <c r="AE19" s="164"/>
      <c r="AF19" s="180"/>
      <c r="AG19" s="213"/>
      <c r="AH19" s="209"/>
      <c r="AI19" s="164"/>
      <c r="AJ19" s="211"/>
      <c r="AK19" s="211"/>
      <c r="AL19" s="209"/>
      <c r="AM19" s="164"/>
      <c r="AN19" s="181"/>
      <c r="AO19" s="211"/>
      <c r="AP19" s="209"/>
      <c r="AQ19" s="161"/>
      <c r="AR19" s="181"/>
      <c r="AS19" s="211"/>
      <c r="AT19" s="209"/>
      <c r="AU19" s="161"/>
      <c r="AV19" s="181"/>
      <c r="AW19" s="211"/>
      <c r="AX19" s="209"/>
      <c r="AY19" s="209"/>
      <c r="AZ19" s="181"/>
      <c r="BA19" s="211"/>
      <c r="BB19" s="267">
        <f t="shared" si="0"/>
        <v>0</v>
      </c>
      <c r="BC19" s="267">
        <f t="shared" si="0"/>
        <v>0</v>
      </c>
      <c r="BD19" s="286">
        <v>0</v>
      </c>
    </row>
    <row r="20" spans="1:56" s="147" customFormat="1" ht="28.5" customHeight="1">
      <c r="A20" s="170">
        <v>217</v>
      </c>
      <c r="B20" s="239" t="s">
        <v>303</v>
      </c>
      <c r="C20" s="240" t="s">
        <v>216</v>
      </c>
      <c r="D20" s="290" t="s">
        <v>300</v>
      </c>
      <c r="E20" s="229"/>
      <c r="F20" s="220"/>
      <c r="G20" s="164"/>
      <c r="H20" s="216"/>
      <c r="I20" s="216"/>
      <c r="J20" s="209"/>
      <c r="K20" s="164"/>
      <c r="L20" s="206"/>
      <c r="M20" s="206"/>
      <c r="N20" s="220">
        <v>0</v>
      </c>
      <c r="O20" s="164">
        <v>0</v>
      </c>
      <c r="P20" s="181">
        <v>0</v>
      </c>
      <c r="Q20" s="211">
        <v>0</v>
      </c>
      <c r="R20" s="209">
        <v>200000</v>
      </c>
      <c r="S20" s="164">
        <v>198060.33</v>
      </c>
      <c r="T20" s="281"/>
      <c r="U20" s="280">
        <v>173065.11552200001</v>
      </c>
      <c r="V20" s="209">
        <v>0</v>
      </c>
      <c r="W20" s="164">
        <v>0</v>
      </c>
      <c r="X20" s="279">
        <v>0</v>
      </c>
      <c r="Y20" s="280">
        <v>0</v>
      </c>
      <c r="Z20" s="209">
        <v>0</v>
      </c>
      <c r="AA20" s="164"/>
      <c r="AB20" s="181"/>
      <c r="AC20" s="211"/>
      <c r="AD20" s="209"/>
      <c r="AE20" s="164"/>
      <c r="AF20" s="180"/>
      <c r="AG20" s="213"/>
      <c r="AH20" s="209"/>
      <c r="AI20" s="164"/>
      <c r="AJ20" s="211"/>
      <c r="AK20" s="211"/>
      <c r="AL20" s="209"/>
      <c r="AM20" s="164"/>
      <c r="AN20" s="181"/>
      <c r="AO20" s="211"/>
      <c r="AP20" s="209"/>
      <c r="AQ20" s="161"/>
      <c r="AR20" s="181"/>
      <c r="AS20" s="211"/>
      <c r="AT20" s="209"/>
      <c r="AU20" s="161"/>
      <c r="AV20" s="181"/>
      <c r="AW20" s="211"/>
      <c r="AX20" s="209"/>
      <c r="AY20" s="209"/>
      <c r="AZ20" s="181"/>
      <c r="BA20" s="211"/>
      <c r="BB20" s="267">
        <f t="shared" si="0"/>
        <v>200000</v>
      </c>
      <c r="BC20" s="267">
        <f t="shared" si="0"/>
        <v>198060.33</v>
      </c>
      <c r="BD20" s="286">
        <f>200000-S20-W20-AA20-AE20</f>
        <v>1939.6700000000128</v>
      </c>
    </row>
    <row r="21" spans="1:56" s="147" customFormat="1" ht="28.5" customHeight="1">
      <c r="A21" s="170">
        <v>218</v>
      </c>
      <c r="B21" s="239" t="s">
        <v>298</v>
      </c>
      <c r="C21" s="240" t="s">
        <v>299</v>
      </c>
      <c r="D21" s="290" t="s">
        <v>301</v>
      </c>
      <c r="E21" s="229"/>
      <c r="F21" s="220"/>
      <c r="G21" s="164"/>
      <c r="H21" s="216"/>
      <c r="I21" s="216"/>
      <c r="J21" s="209"/>
      <c r="K21" s="164"/>
      <c r="L21" s="206"/>
      <c r="M21" s="206"/>
      <c r="N21" s="220">
        <v>290064.15999999997</v>
      </c>
      <c r="O21" s="164">
        <v>290064.15999999997</v>
      </c>
      <c r="P21" s="181">
        <v>0</v>
      </c>
      <c r="Q21" s="211">
        <v>251775.68647999997</v>
      </c>
      <c r="R21" s="209">
        <v>250000</v>
      </c>
      <c r="S21" s="164">
        <v>0</v>
      </c>
      <c r="T21" s="281">
        <v>0</v>
      </c>
      <c r="U21" s="280">
        <v>249031.5</v>
      </c>
      <c r="V21" s="209">
        <v>0</v>
      </c>
      <c r="W21" s="164">
        <v>0</v>
      </c>
      <c r="X21" s="279">
        <v>0</v>
      </c>
      <c r="Y21" s="280">
        <v>0</v>
      </c>
      <c r="Z21" s="209">
        <v>450000</v>
      </c>
      <c r="AA21" s="164"/>
      <c r="AB21" s="181"/>
      <c r="AC21" s="211"/>
      <c r="AD21" s="209"/>
      <c r="AE21" s="164"/>
      <c r="AF21" s="180"/>
      <c r="AG21" s="213"/>
      <c r="AH21" s="209"/>
      <c r="AI21" s="164"/>
      <c r="AJ21" s="211"/>
      <c r="AK21" s="211"/>
      <c r="AL21" s="209"/>
      <c r="AM21" s="164"/>
      <c r="AN21" s="181"/>
      <c r="AO21" s="211"/>
      <c r="AP21" s="209"/>
      <c r="AQ21" s="161"/>
      <c r="AR21" s="181"/>
      <c r="AS21" s="211"/>
      <c r="AT21" s="209"/>
      <c r="AU21" s="161"/>
      <c r="AV21" s="181"/>
      <c r="AW21" s="211"/>
      <c r="AX21" s="209"/>
      <c r="AY21" s="209"/>
      <c r="AZ21" s="181"/>
      <c r="BA21" s="211"/>
      <c r="BB21" s="267">
        <f t="shared" si="0"/>
        <v>990064.15999999992</v>
      </c>
      <c r="BC21" s="267">
        <f t="shared" si="0"/>
        <v>290064.15999999997</v>
      </c>
      <c r="BD21" s="286">
        <f>700000-S21-W21-AA21-AE21</f>
        <v>700000</v>
      </c>
    </row>
    <row r="22" spans="1:56" s="147" customFormat="1" ht="28.5" customHeight="1">
      <c r="A22" s="170">
        <v>220</v>
      </c>
      <c r="B22" s="239" t="s">
        <v>306</v>
      </c>
      <c r="C22" s="240" t="s">
        <v>222</v>
      </c>
      <c r="D22" s="290" t="s">
        <v>307</v>
      </c>
      <c r="E22" s="229"/>
      <c r="F22" s="220"/>
      <c r="G22" s="164"/>
      <c r="H22" s="216"/>
      <c r="I22" s="216"/>
      <c r="J22" s="209"/>
      <c r="K22" s="164"/>
      <c r="L22" s="206"/>
      <c r="M22" s="206"/>
      <c r="N22" s="220">
        <v>290064.15999999997</v>
      </c>
      <c r="O22" s="164">
        <v>290064.15999999997</v>
      </c>
      <c r="P22" s="181">
        <v>0</v>
      </c>
      <c r="Q22" s="211">
        <v>251775.68647999997</v>
      </c>
      <c r="R22" s="209">
        <v>0</v>
      </c>
      <c r="S22" s="164">
        <v>0</v>
      </c>
      <c r="T22" s="281">
        <v>0</v>
      </c>
      <c r="U22" s="280">
        <v>0</v>
      </c>
      <c r="V22" s="209">
        <v>0</v>
      </c>
      <c r="W22" s="164">
        <v>0</v>
      </c>
      <c r="X22" s="279">
        <v>0</v>
      </c>
      <c r="Y22" s="280">
        <v>0</v>
      </c>
      <c r="Z22" s="209">
        <v>0</v>
      </c>
      <c r="AA22" s="164"/>
      <c r="AB22" s="181"/>
      <c r="AC22" s="211"/>
      <c r="AD22" s="209"/>
      <c r="AE22" s="164"/>
      <c r="AF22" s="180"/>
      <c r="AG22" s="213"/>
      <c r="AH22" s="209">
        <v>225000</v>
      </c>
      <c r="AI22" s="164"/>
      <c r="AJ22" s="211"/>
      <c r="AK22" s="211"/>
      <c r="AL22" s="209"/>
      <c r="AM22" s="164"/>
      <c r="AN22" s="181"/>
      <c r="AO22" s="211"/>
      <c r="AP22" s="209"/>
      <c r="AQ22" s="161"/>
      <c r="AR22" s="181"/>
      <c r="AS22" s="211"/>
      <c r="AT22" s="209"/>
      <c r="AU22" s="161"/>
      <c r="AV22" s="181"/>
      <c r="AW22" s="211"/>
      <c r="AX22" s="209"/>
      <c r="AY22" s="209"/>
      <c r="AZ22" s="181"/>
      <c r="BA22" s="211"/>
      <c r="BB22" s="267">
        <f t="shared" si="0"/>
        <v>515064.16</v>
      </c>
      <c r="BC22" s="267">
        <f t="shared" si="0"/>
        <v>290064.15999999997</v>
      </c>
      <c r="BD22" s="286">
        <f>0-S22-W22-AA22-AE22</f>
        <v>0</v>
      </c>
    </row>
    <row r="23" spans="1:56" s="147" customFormat="1" ht="28.5" customHeight="1">
      <c r="A23" s="170">
        <v>225</v>
      </c>
      <c r="B23" s="239" t="s">
        <v>302</v>
      </c>
      <c r="C23" s="240" t="s">
        <v>219</v>
      </c>
      <c r="D23" s="290" t="s">
        <v>307</v>
      </c>
      <c r="E23" s="229"/>
      <c r="F23" s="220"/>
      <c r="G23" s="164"/>
      <c r="H23" s="216"/>
      <c r="I23" s="216"/>
      <c r="J23" s="209"/>
      <c r="K23" s="164"/>
      <c r="L23" s="206"/>
      <c r="M23" s="206"/>
      <c r="N23" s="220">
        <v>0</v>
      </c>
      <c r="O23" s="164">
        <v>0</v>
      </c>
      <c r="P23" s="181">
        <v>0</v>
      </c>
      <c r="Q23" s="211">
        <v>0</v>
      </c>
      <c r="R23" s="209">
        <v>0</v>
      </c>
      <c r="S23" s="164">
        <v>0</v>
      </c>
      <c r="T23" s="281">
        <v>0</v>
      </c>
      <c r="U23" s="280">
        <v>0</v>
      </c>
      <c r="V23" s="209">
        <v>106731.25</v>
      </c>
      <c r="W23" s="164">
        <v>92322.53125</v>
      </c>
      <c r="X23" s="279">
        <v>92322.53125</v>
      </c>
      <c r="Y23" s="280">
        <v>0</v>
      </c>
      <c r="Z23" s="209">
        <v>106731.25</v>
      </c>
      <c r="AA23" s="164"/>
      <c r="AB23" s="181"/>
      <c r="AC23" s="211"/>
      <c r="AD23" s="209"/>
      <c r="AE23" s="164"/>
      <c r="AF23" s="180"/>
      <c r="AG23" s="213"/>
      <c r="AH23" s="209"/>
      <c r="AI23" s="164"/>
      <c r="AJ23" s="211"/>
      <c r="AK23" s="211"/>
      <c r="AL23" s="209"/>
      <c r="AM23" s="164"/>
      <c r="AN23" s="181"/>
      <c r="AO23" s="211"/>
      <c r="AP23" s="209"/>
      <c r="AQ23" s="161"/>
      <c r="AR23" s="181"/>
      <c r="AS23" s="211"/>
      <c r="AT23" s="209"/>
      <c r="AU23" s="161"/>
      <c r="AV23" s="181"/>
      <c r="AW23" s="211"/>
      <c r="AX23" s="209"/>
      <c r="AY23" s="209"/>
      <c r="AZ23" s="181"/>
      <c r="BA23" s="211"/>
      <c r="BB23" s="267">
        <f t="shared" si="0"/>
        <v>213462.5</v>
      </c>
      <c r="BC23" s="267">
        <f t="shared" si="0"/>
        <v>92322.53125</v>
      </c>
      <c r="BD23" s="286"/>
    </row>
    <row r="24" spans="1:56" s="147" customFormat="1" ht="28.5" customHeight="1" thickBot="1">
      <c r="A24" s="170">
        <v>227</v>
      </c>
      <c r="B24" s="239" t="s">
        <v>304</v>
      </c>
      <c r="C24" s="240" t="s">
        <v>219</v>
      </c>
      <c r="D24" s="290" t="s">
        <v>305</v>
      </c>
      <c r="E24" s="229"/>
      <c r="F24" s="220"/>
      <c r="G24" s="164"/>
      <c r="H24" s="216"/>
      <c r="I24" s="216"/>
      <c r="J24" s="209"/>
      <c r="K24" s="164"/>
      <c r="L24" s="206"/>
      <c r="M24" s="206"/>
      <c r="N24" s="220"/>
      <c r="O24" s="164"/>
      <c r="P24" s="181"/>
      <c r="Q24" s="211"/>
      <c r="R24" s="209">
        <v>0</v>
      </c>
      <c r="S24" s="164">
        <v>0</v>
      </c>
      <c r="T24" s="281">
        <v>0</v>
      </c>
      <c r="U24" s="280">
        <v>0</v>
      </c>
      <c r="V24" s="209">
        <v>0</v>
      </c>
      <c r="W24" s="164">
        <v>0</v>
      </c>
      <c r="X24" s="279">
        <v>0</v>
      </c>
      <c r="Y24" s="280">
        <v>0</v>
      </c>
      <c r="Z24" s="209">
        <v>80000</v>
      </c>
      <c r="AA24" s="164"/>
      <c r="AB24" s="181"/>
      <c r="AC24" s="211"/>
      <c r="AD24" s="209"/>
      <c r="AE24" s="164"/>
      <c r="AF24" s="180"/>
      <c r="AG24" s="213"/>
      <c r="AH24" s="209"/>
      <c r="AI24" s="164"/>
      <c r="AJ24" s="211"/>
      <c r="AK24" s="211"/>
      <c r="AL24" s="209"/>
      <c r="AM24" s="164"/>
      <c r="AN24" s="181"/>
      <c r="AO24" s="211"/>
      <c r="AP24" s="209"/>
      <c r="AQ24" s="161"/>
      <c r="AR24" s="181"/>
      <c r="AS24" s="211"/>
      <c r="AT24" s="209"/>
      <c r="AU24" s="161"/>
      <c r="AV24" s="181"/>
      <c r="AW24" s="211"/>
      <c r="AX24" s="209"/>
      <c r="AY24" s="209"/>
      <c r="AZ24" s="181"/>
      <c r="BA24" s="211"/>
      <c r="BB24" s="267">
        <f t="shared" si="0"/>
        <v>80000</v>
      </c>
      <c r="BC24" s="267">
        <f t="shared" si="0"/>
        <v>0</v>
      </c>
      <c r="BD24" s="286"/>
    </row>
    <row r="25" spans="1:56" s="148" customFormat="1" ht="25.5" customHeight="1" thickBot="1">
      <c r="A25" s="153" t="s">
        <v>121</v>
      </c>
      <c r="B25" s="153"/>
      <c r="C25" s="154"/>
      <c r="D25" s="154"/>
      <c r="E25" s="154"/>
      <c r="F25" s="179">
        <f>SUBTOTAL(9,F5:F23)</f>
        <v>1343260.85</v>
      </c>
      <c r="G25" s="179">
        <f t="shared" ref="G25:Q25" si="3">SUBTOTAL(9,G5:G23)</f>
        <v>1360813.9300000002</v>
      </c>
      <c r="H25" s="179">
        <f t="shared" si="3"/>
        <v>1219897.6725999999</v>
      </c>
      <c r="I25" s="179">
        <f t="shared" si="3"/>
        <v>0</v>
      </c>
      <c r="J25" s="179">
        <f t="shared" si="3"/>
        <v>1388000</v>
      </c>
      <c r="K25" s="179">
        <f t="shared" si="3"/>
        <v>1838077.4361299998</v>
      </c>
      <c r="L25" s="179">
        <f t="shared" si="3"/>
        <v>1660266.29912214</v>
      </c>
      <c r="M25" s="179">
        <f t="shared" si="3"/>
        <v>0</v>
      </c>
      <c r="N25" s="179">
        <f t="shared" si="3"/>
        <v>3691108.8450000002</v>
      </c>
      <c r="O25" s="179">
        <f t="shared" si="3"/>
        <v>4274530.336250715</v>
      </c>
      <c r="P25" s="179">
        <f t="shared" si="3"/>
        <v>2682356.3424260756</v>
      </c>
      <c r="Q25" s="179">
        <f t="shared" si="3"/>
        <v>586330.55701999995</v>
      </c>
      <c r="R25" s="179">
        <f>SUBTOTAL(9,R5:R24)</f>
        <v>3332485.9299999997</v>
      </c>
      <c r="S25" s="179">
        <f t="shared" ref="S25:BD25" si="4">SUBTOTAL(9,S5:S24)</f>
        <v>3512370.0408317046</v>
      </c>
      <c r="T25" s="179">
        <f t="shared" si="4"/>
        <v>2760432.3491124478</v>
      </c>
      <c r="U25" s="179">
        <f t="shared" si="4"/>
        <v>637541.81955200003</v>
      </c>
      <c r="V25" s="179">
        <f t="shared" si="4"/>
        <v>2280731.25</v>
      </c>
      <c r="W25" s="179">
        <f t="shared" si="4"/>
        <v>1865693.2253268003</v>
      </c>
      <c r="X25" s="179">
        <f t="shared" si="4"/>
        <v>138587.8438</v>
      </c>
      <c r="Y25" s="179">
        <f t="shared" si="4"/>
        <v>1627482.2837820814</v>
      </c>
      <c r="Z25" s="179">
        <f t="shared" si="4"/>
        <v>2771485.25</v>
      </c>
      <c r="AA25" s="179">
        <f t="shared" si="4"/>
        <v>0</v>
      </c>
      <c r="AB25" s="179">
        <f t="shared" si="4"/>
        <v>0</v>
      </c>
      <c r="AC25" s="179">
        <f t="shared" si="4"/>
        <v>0</v>
      </c>
      <c r="AD25" s="179">
        <f t="shared" si="4"/>
        <v>1426500.06</v>
      </c>
      <c r="AE25" s="179">
        <f t="shared" si="4"/>
        <v>0</v>
      </c>
      <c r="AF25" s="179">
        <f t="shared" si="4"/>
        <v>0</v>
      </c>
      <c r="AG25" s="179">
        <f t="shared" si="4"/>
        <v>0</v>
      </c>
      <c r="AH25" s="179">
        <f t="shared" si="4"/>
        <v>225000</v>
      </c>
      <c r="AI25" s="179">
        <f t="shared" si="4"/>
        <v>0</v>
      </c>
      <c r="AJ25" s="179">
        <f t="shared" si="4"/>
        <v>0</v>
      </c>
      <c r="AK25" s="179">
        <f t="shared" si="4"/>
        <v>0</v>
      </c>
      <c r="AL25" s="179">
        <f t="shared" si="4"/>
        <v>0</v>
      </c>
      <c r="AM25" s="179">
        <f t="shared" si="4"/>
        <v>0</v>
      </c>
      <c r="AN25" s="179">
        <f t="shared" si="4"/>
        <v>0</v>
      </c>
      <c r="AO25" s="179">
        <f t="shared" si="4"/>
        <v>0</v>
      </c>
      <c r="AP25" s="179">
        <f t="shared" si="4"/>
        <v>0</v>
      </c>
      <c r="AQ25" s="179">
        <f t="shared" si="4"/>
        <v>0</v>
      </c>
      <c r="AR25" s="179">
        <f t="shared" si="4"/>
        <v>0</v>
      </c>
      <c r="AS25" s="179">
        <f t="shared" si="4"/>
        <v>0</v>
      </c>
      <c r="AT25" s="179">
        <f t="shared" si="4"/>
        <v>0</v>
      </c>
      <c r="AU25" s="179">
        <f t="shared" si="4"/>
        <v>0</v>
      </c>
      <c r="AV25" s="179">
        <f t="shared" si="4"/>
        <v>0</v>
      </c>
      <c r="AW25" s="179">
        <f t="shared" si="4"/>
        <v>0</v>
      </c>
      <c r="AX25" s="179">
        <f t="shared" si="4"/>
        <v>0</v>
      </c>
      <c r="AY25" s="179">
        <f t="shared" si="4"/>
        <v>0</v>
      </c>
      <c r="AZ25" s="179">
        <f t="shared" si="4"/>
        <v>0</v>
      </c>
      <c r="BA25" s="179">
        <f t="shared" si="4"/>
        <v>0</v>
      </c>
      <c r="BB25" s="179">
        <f t="shared" si="4"/>
        <v>16458572.184999999</v>
      </c>
      <c r="BC25" s="179">
        <f t="shared" si="4"/>
        <v>12851484.968539221</v>
      </c>
      <c r="BD25" s="179">
        <f t="shared" si="4"/>
        <v>8335698.0800000001</v>
      </c>
    </row>
    <row r="26" spans="1:56" s="190" customFormat="1" ht="14.25" customHeight="1">
      <c r="A26" s="187"/>
      <c r="B26" s="188"/>
      <c r="C26" s="187"/>
      <c r="D26" s="187"/>
      <c r="E26" s="187"/>
      <c r="F26" s="189"/>
      <c r="G26" s="189"/>
      <c r="H26" s="189"/>
      <c r="I26" s="189"/>
      <c r="J26" s="189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87"/>
      <c r="BD26" s="190" t="s">
        <v>265</v>
      </c>
    </row>
    <row r="27" spans="1:56" ht="15" customHeight="1">
      <c r="F27" s="183"/>
      <c r="G27" s="183"/>
      <c r="H27" s="183"/>
      <c r="I27" s="183"/>
      <c r="J27" s="183"/>
    </row>
    <row r="28" spans="1:56" s="194" customFormat="1" ht="15" customHeight="1">
      <c r="A28" s="191"/>
      <c r="B28" s="191"/>
      <c r="C28" s="191"/>
      <c r="D28" s="191"/>
      <c r="E28" s="191"/>
      <c r="F28" s="193"/>
      <c r="G28" s="192"/>
      <c r="H28" s="192"/>
      <c r="I28" s="192"/>
      <c r="J28" s="192"/>
      <c r="V28" s="200"/>
      <c r="W28" s="201"/>
      <c r="X28" s="201"/>
      <c r="AD28" s="51"/>
      <c r="AE28" s="51"/>
      <c r="AF28" s="51"/>
      <c r="AG28" s="203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191"/>
    </row>
    <row r="29" spans="1:56" s="194" customFormat="1" ht="15" customHeight="1">
      <c r="A29" s="191"/>
      <c r="B29" s="191"/>
      <c r="C29" s="191"/>
      <c r="D29" s="191"/>
      <c r="E29" s="191"/>
      <c r="F29" s="195"/>
      <c r="G29" s="195"/>
      <c r="H29" s="195"/>
      <c r="I29" s="195"/>
      <c r="J29" s="195"/>
      <c r="Y29" s="198"/>
      <c r="Z29" s="199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191"/>
    </row>
    <row r="30" spans="1:56" s="194" customFormat="1" ht="15" customHeight="1">
      <c r="A30" s="191"/>
      <c r="B30" s="191"/>
      <c r="C30" s="191"/>
      <c r="D30" s="191"/>
      <c r="E30" s="191"/>
      <c r="F30" s="195"/>
      <c r="G30" s="195"/>
      <c r="H30" s="195"/>
      <c r="I30" s="195"/>
      <c r="J30" s="195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191"/>
    </row>
    <row r="31" spans="1:56">
      <c r="I31" s="182"/>
    </row>
  </sheetData>
  <mergeCells count="24">
    <mergeCell ref="R4:U4"/>
    <mergeCell ref="AD4:AG4"/>
    <mergeCell ref="AT4:AW4"/>
    <mergeCell ref="AX4:BA4"/>
    <mergeCell ref="V4:Y4"/>
    <mergeCell ref="Z4:AC4"/>
    <mergeCell ref="AL4:AO4"/>
    <mergeCell ref="AP4:AS4"/>
    <mergeCell ref="AH4:AK4"/>
    <mergeCell ref="J9:M9"/>
    <mergeCell ref="N9:Q9"/>
    <mergeCell ref="A4:A5"/>
    <mergeCell ref="B4:B5"/>
    <mergeCell ref="C4:C5"/>
    <mergeCell ref="D4:D5"/>
    <mergeCell ref="E4:E5"/>
    <mergeCell ref="F4:I4"/>
    <mergeCell ref="J4:M4"/>
    <mergeCell ref="N4:Q4"/>
    <mergeCell ref="AX9:BA9"/>
    <mergeCell ref="AH9:AK9"/>
    <mergeCell ref="AL9:AO9"/>
    <mergeCell ref="AP9:AS9"/>
    <mergeCell ref="AT9:AW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4" manualBreakCount="4">
    <brk id="9" max="46" man="1"/>
    <brk id="17" max="21" man="1"/>
    <brk id="25" max="22" man="1"/>
    <brk id="5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3C0C-3E40-486A-9B59-1C5056167637}">
  <dimension ref="A1:G108"/>
  <sheetViews>
    <sheetView workbookViewId="0">
      <selection activeCell="K8" sqref="K8"/>
    </sheetView>
  </sheetViews>
  <sheetFormatPr defaultRowHeight="14.4"/>
  <cols>
    <col min="1" max="1" width="16" customWidth="1"/>
    <col min="2" max="2" width="35.77734375" customWidth="1"/>
    <col min="3" max="3" width="10.88671875" customWidth="1"/>
    <col min="4" max="4" width="12.33203125" customWidth="1"/>
    <col min="5" max="5" width="10.77734375" style="1" customWidth="1"/>
    <col min="6" max="6" width="13.109375" style="1" customWidth="1"/>
    <col min="7" max="7" width="13.21875" style="1" customWidth="1"/>
  </cols>
  <sheetData>
    <row r="1" spans="1:7" s="292" customFormat="1" ht="15">
      <c r="A1" s="294" t="s">
        <v>313</v>
      </c>
      <c r="B1" s="294" t="s">
        <v>234</v>
      </c>
      <c r="C1" s="294" t="s">
        <v>235</v>
      </c>
      <c r="D1" s="294" t="s">
        <v>236</v>
      </c>
      <c r="E1" s="294" t="s">
        <v>312</v>
      </c>
      <c r="F1" s="294" t="s">
        <v>280</v>
      </c>
      <c r="G1" s="294" t="s">
        <v>279</v>
      </c>
    </row>
    <row r="2" spans="1:7">
      <c r="A2" s="293">
        <v>106</v>
      </c>
      <c r="B2" s="293" t="s">
        <v>210</v>
      </c>
      <c r="C2" s="293" t="s">
        <v>214</v>
      </c>
      <c r="D2" s="293" t="s">
        <v>202</v>
      </c>
      <c r="E2" s="296">
        <v>45658</v>
      </c>
      <c r="F2" s="295">
        <v>60000</v>
      </c>
      <c r="G2" s="295">
        <v>64536.480000000003</v>
      </c>
    </row>
    <row r="3" spans="1:7">
      <c r="A3" s="293">
        <v>154</v>
      </c>
      <c r="B3" s="293" t="s">
        <v>206</v>
      </c>
      <c r="C3" s="293" t="s">
        <v>219</v>
      </c>
      <c r="D3" s="293" t="s">
        <v>307</v>
      </c>
      <c r="E3" s="296">
        <v>45658</v>
      </c>
      <c r="F3" s="295">
        <v>0</v>
      </c>
      <c r="G3" s="295">
        <v>0</v>
      </c>
    </row>
    <row r="4" spans="1:7">
      <c r="A4" s="293">
        <v>159</v>
      </c>
      <c r="B4" s="293" t="s">
        <v>310</v>
      </c>
      <c r="C4" s="293" t="s">
        <v>215</v>
      </c>
      <c r="D4" s="293" t="s">
        <v>204</v>
      </c>
      <c r="E4" s="296">
        <v>45658</v>
      </c>
      <c r="F4" s="295">
        <v>300000</v>
      </c>
      <c r="G4" s="295">
        <v>304499.69</v>
      </c>
    </row>
    <row r="5" spans="1:7">
      <c r="A5" s="293">
        <v>162</v>
      </c>
      <c r="B5" s="293" t="s">
        <v>208</v>
      </c>
      <c r="C5" s="293" t="s">
        <v>216</v>
      </c>
      <c r="D5" s="293" t="s">
        <v>203</v>
      </c>
      <c r="E5" s="296">
        <v>45658</v>
      </c>
      <c r="F5" s="295">
        <v>71260.850000000006</v>
      </c>
      <c r="G5" s="295">
        <v>71260.850000000006</v>
      </c>
    </row>
    <row r="6" spans="1:7">
      <c r="A6" s="293">
        <v>174</v>
      </c>
      <c r="B6" s="293" t="s">
        <v>226</v>
      </c>
      <c r="C6" s="293" t="s">
        <v>222</v>
      </c>
      <c r="D6" s="293" t="s">
        <v>307</v>
      </c>
      <c r="E6" s="296">
        <v>45658</v>
      </c>
      <c r="F6" s="295">
        <v>0</v>
      </c>
      <c r="G6" s="295">
        <v>0</v>
      </c>
    </row>
    <row r="7" spans="1:7">
      <c r="A7" s="293">
        <v>175</v>
      </c>
      <c r="B7" s="293" t="s">
        <v>224</v>
      </c>
      <c r="C7" s="293" t="s">
        <v>217</v>
      </c>
      <c r="D7" s="293" t="s">
        <v>225</v>
      </c>
      <c r="E7" s="296">
        <v>45658</v>
      </c>
      <c r="F7" s="295">
        <v>0</v>
      </c>
      <c r="G7" s="295">
        <v>0</v>
      </c>
    </row>
    <row r="8" spans="1:7">
      <c r="A8" s="293">
        <v>183</v>
      </c>
      <c r="B8" s="293" t="s">
        <v>232</v>
      </c>
      <c r="C8" s="293" t="s">
        <v>217</v>
      </c>
      <c r="D8" s="293" t="s">
        <v>225</v>
      </c>
      <c r="E8" s="296">
        <v>45658</v>
      </c>
      <c r="F8" s="295">
        <v>155000</v>
      </c>
      <c r="G8" s="295">
        <v>155086.68</v>
      </c>
    </row>
    <row r="9" spans="1:7">
      <c r="A9" s="293">
        <v>184</v>
      </c>
      <c r="B9" s="293" t="s">
        <v>266</v>
      </c>
      <c r="C9" s="293" t="s">
        <v>230</v>
      </c>
      <c r="D9" s="293" t="s">
        <v>231</v>
      </c>
      <c r="E9" s="296">
        <v>45658</v>
      </c>
      <c r="F9" s="295">
        <v>170000</v>
      </c>
      <c r="G9" s="295">
        <v>229170.85</v>
      </c>
    </row>
    <row r="10" spans="1:7">
      <c r="A10" s="293">
        <v>184</v>
      </c>
      <c r="B10" s="293" t="s">
        <v>269</v>
      </c>
      <c r="C10" s="293" t="s">
        <v>230</v>
      </c>
      <c r="D10" s="293" t="s">
        <v>231</v>
      </c>
      <c r="E10" s="296">
        <v>45658</v>
      </c>
      <c r="F10" s="295">
        <v>75000</v>
      </c>
      <c r="G10" s="295">
        <v>38973.51</v>
      </c>
    </row>
    <row r="11" spans="1:7">
      <c r="A11" s="293">
        <v>192</v>
      </c>
      <c r="B11" s="293" t="s">
        <v>260</v>
      </c>
      <c r="C11" s="293" t="s">
        <v>219</v>
      </c>
      <c r="D11" s="293" t="s">
        <v>307</v>
      </c>
      <c r="E11" s="296">
        <v>45658</v>
      </c>
      <c r="F11" s="295">
        <v>483000</v>
      </c>
      <c r="G11" s="295">
        <v>466923.75</v>
      </c>
    </row>
    <row r="12" spans="1:7">
      <c r="A12" s="293">
        <v>202</v>
      </c>
      <c r="B12" s="293" t="s">
        <v>263</v>
      </c>
      <c r="C12" s="293" t="s">
        <v>219</v>
      </c>
      <c r="D12" s="293" t="s">
        <v>307</v>
      </c>
      <c r="E12" s="296">
        <v>45658</v>
      </c>
      <c r="F12" s="295">
        <v>0</v>
      </c>
      <c r="G12" s="295">
        <v>0</v>
      </c>
    </row>
    <row r="13" spans="1:7">
      <c r="A13" s="293">
        <v>208</v>
      </c>
      <c r="B13" s="293" t="s">
        <v>284</v>
      </c>
      <c r="C13" s="293" t="s">
        <v>215</v>
      </c>
      <c r="D13" s="293" t="s">
        <v>231</v>
      </c>
      <c r="E13" s="296">
        <v>45658</v>
      </c>
      <c r="F13" s="295">
        <v>29000</v>
      </c>
      <c r="G13" s="295">
        <v>30362.12</v>
      </c>
    </row>
    <row r="14" spans="1:7">
      <c r="A14" s="293">
        <v>106</v>
      </c>
      <c r="B14" s="293" t="s">
        <v>210</v>
      </c>
      <c r="C14" s="293" t="s">
        <v>214</v>
      </c>
      <c r="D14" s="293" t="s">
        <v>202</v>
      </c>
      <c r="E14" s="296">
        <v>45689</v>
      </c>
      <c r="F14" s="295">
        <v>180000</v>
      </c>
      <c r="G14" s="295">
        <v>136879.4</v>
      </c>
    </row>
    <row r="15" spans="1:7">
      <c r="A15" s="293">
        <v>154</v>
      </c>
      <c r="B15" s="293" t="s">
        <v>206</v>
      </c>
      <c r="C15" s="293" t="s">
        <v>219</v>
      </c>
      <c r="D15" s="293" t="s">
        <v>307</v>
      </c>
      <c r="E15" s="296">
        <v>45689</v>
      </c>
      <c r="F15" s="295">
        <v>0</v>
      </c>
      <c r="G15" s="295">
        <v>0</v>
      </c>
    </row>
    <row r="16" spans="1:7">
      <c r="A16" s="293">
        <v>159</v>
      </c>
      <c r="B16" s="293" t="s">
        <v>310</v>
      </c>
      <c r="C16" s="293" t="s">
        <v>215</v>
      </c>
      <c r="D16" s="293" t="s">
        <v>204</v>
      </c>
      <c r="E16" s="296">
        <v>45689</v>
      </c>
      <c r="F16" s="295">
        <v>210000</v>
      </c>
      <c r="G16" s="295">
        <v>284806.86613000004</v>
      </c>
    </row>
    <row r="17" spans="1:7">
      <c r="A17" s="293">
        <v>174</v>
      </c>
      <c r="B17" s="293" t="s">
        <v>226</v>
      </c>
      <c r="C17" s="293" t="s">
        <v>222</v>
      </c>
      <c r="D17" s="293" t="s">
        <v>307</v>
      </c>
      <c r="E17" s="296">
        <v>45689</v>
      </c>
      <c r="F17" s="295">
        <v>225000</v>
      </c>
      <c r="G17" s="295">
        <v>202289.83</v>
      </c>
    </row>
    <row r="18" spans="1:7">
      <c r="A18" s="293">
        <v>175</v>
      </c>
      <c r="B18" s="293" t="s">
        <v>224</v>
      </c>
      <c r="C18" s="293" t="s">
        <v>217</v>
      </c>
      <c r="D18" s="293" t="s">
        <v>225</v>
      </c>
      <c r="E18" s="296">
        <v>45689</v>
      </c>
      <c r="F18" s="295">
        <v>180000</v>
      </c>
      <c r="G18" s="295">
        <v>455576.86</v>
      </c>
    </row>
    <row r="19" spans="1:7">
      <c r="A19" s="293">
        <v>183</v>
      </c>
      <c r="B19" s="293" t="s">
        <v>232</v>
      </c>
      <c r="C19" s="293" t="s">
        <v>217</v>
      </c>
      <c r="D19" s="293" t="s">
        <v>225</v>
      </c>
      <c r="E19" s="296">
        <v>45689</v>
      </c>
      <c r="F19" s="295">
        <v>78000</v>
      </c>
      <c r="G19" s="295">
        <v>80177.17</v>
      </c>
    </row>
    <row r="20" spans="1:7">
      <c r="A20" s="293">
        <v>184</v>
      </c>
      <c r="B20" s="293" t="s">
        <v>266</v>
      </c>
      <c r="C20" s="293" t="s">
        <v>230</v>
      </c>
      <c r="D20" s="293" t="s">
        <v>231</v>
      </c>
      <c r="E20" s="296">
        <v>45689</v>
      </c>
      <c r="F20" s="295">
        <v>200000</v>
      </c>
      <c r="G20" s="295">
        <v>301941.38</v>
      </c>
    </row>
    <row r="21" spans="1:7">
      <c r="A21" s="293">
        <v>184</v>
      </c>
      <c r="B21" s="293" t="s">
        <v>269</v>
      </c>
      <c r="C21" s="293" t="s">
        <v>230</v>
      </c>
      <c r="D21" s="293" t="s">
        <v>231</v>
      </c>
      <c r="E21" s="296">
        <v>45689</v>
      </c>
      <c r="F21" s="295">
        <v>90000</v>
      </c>
      <c r="G21" s="295">
        <v>133602.84000000003</v>
      </c>
    </row>
    <row r="22" spans="1:7">
      <c r="A22" s="293">
        <v>192</v>
      </c>
      <c r="B22" s="293" t="s">
        <v>260</v>
      </c>
      <c r="C22" s="293" t="s">
        <v>219</v>
      </c>
      <c r="D22" s="293" t="s">
        <v>307</v>
      </c>
      <c r="E22" s="296">
        <v>45689</v>
      </c>
      <c r="F22" s="295">
        <v>115000</v>
      </c>
      <c r="G22" s="295">
        <v>172820.85</v>
      </c>
    </row>
    <row r="23" spans="1:7">
      <c r="A23" s="293">
        <v>202</v>
      </c>
      <c r="B23" s="293" t="s">
        <v>263</v>
      </c>
      <c r="C23" s="293" t="s">
        <v>219</v>
      </c>
      <c r="D23" s="293" t="s">
        <v>307</v>
      </c>
      <c r="E23" s="296">
        <v>45689</v>
      </c>
      <c r="F23" s="295">
        <v>0</v>
      </c>
      <c r="G23" s="295">
        <v>0</v>
      </c>
    </row>
    <row r="24" spans="1:7">
      <c r="A24" s="293">
        <v>208</v>
      </c>
      <c r="B24" s="293" t="s">
        <v>284</v>
      </c>
      <c r="C24" s="293" t="s">
        <v>215</v>
      </c>
      <c r="D24" s="293" t="s">
        <v>231</v>
      </c>
      <c r="E24" s="296">
        <v>45689</v>
      </c>
      <c r="F24" s="295">
        <v>110000</v>
      </c>
      <c r="G24" s="295">
        <v>69982.240000000005</v>
      </c>
    </row>
    <row r="25" spans="1:7">
      <c r="A25" s="293">
        <v>106</v>
      </c>
      <c r="B25" s="293" t="s">
        <v>210</v>
      </c>
      <c r="C25" s="293" t="s">
        <v>214</v>
      </c>
      <c r="D25" s="293" t="s">
        <v>202</v>
      </c>
      <c r="E25" s="296">
        <v>45717</v>
      </c>
      <c r="F25" s="295">
        <v>262956.23499999999</v>
      </c>
      <c r="G25" s="295">
        <v>256655.11</v>
      </c>
    </row>
    <row r="26" spans="1:7">
      <c r="A26" s="293">
        <v>154</v>
      </c>
      <c r="B26" s="293" t="s">
        <v>206</v>
      </c>
      <c r="C26" s="293" t="s">
        <v>219</v>
      </c>
      <c r="D26" s="293" t="s">
        <v>307</v>
      </c>
      <c r="E26" s="296">
        <v>45717</v>
      </c>
      <c r="F26" s="295">
        <v>112000</v>
      </c>
      <c r="G26" s="295">
        <v>101780.1</v>
      </c>
    </row>
    <row r="27" spans="1:7">
      <c r="A27" s="293">
        <v>159</v>
      </c>
      <c r="B27" s="293" t="s">
        <v>310</v>
      </c>
      <c r="C27" s="293" t="s">
        <v>215</v>
      </c>
      <c r="D27" s="293" t="s">
        <v>204</v>
      </c>
      <c r="E27" s="296">
        <v>45717</v>
      </c>
      <c r="F27" s="295">
        <v>325000</v>
      </c>
      <c r="G27" s="295">
        <v>317041.77</v>
      </c>
    </row>
    <row r="28" spans="1:7">
      <c r="A28" s="293">
        <v>174</v>
      </c>
      <c r="B28" s="293" t="s">
        <v>226</v>
      </c>
      <c r="C28" s="293" t="s">
        <v>222</v>
      </c>
      <c r="D28" s="293" t="s">
        <v>307</v>
      </c>
      <c r="E28" s="296">
        <v>45717</v>
      </c>
      <c r="F28" s="295">
        <v>251000</v>
      </c>
      <c r="G28" s="295">
        <v>268315.96999999997</v>
      </c>
    </row>
    <row r="29" spans="1:7">
      <c r="A29" s="293">
        <v>175</v>
      </c>
      <c r="B29" s="293" t="s">
        <v>224</v>
      </c>
      <c r="C29" s="293" t="s">
        <v>217</v>
      </c>
      <c r="D29" s="293" t="s">
        <v>225</v>
      </c>
      <c r="E29" s="296">
        <v>45717</v>
      </c>
      <c r="F29" s="295">
        <v>42000</v>
      </c>
      <c r="G29" s="295">
        <v>673708.62</v>
      </c>
    </row>
    <row r="30" spans="1:7">
      <c r="A30" s="293">
        <v>183</v>
      </c>
      <c r="B30" s="293" t="s">
        <v>232</v>
      </c>
      <c r="C30" s="293" t="s">
        <v>217</v>
      </c>
      <c r="D30" s="293" t="s">
        <v>225</v>
      </c>
      <c r="E30" s="296">
        <v>45717</v>
      </c>
      <c r="F30" s="295">
        <v>158024.29</v>
      </c>
      <c r="G30" s="295">
        <v>148226.78</v>
      </c>
    </row>
    <row r="31" spans="1:7">
      <c r="A31" s="293">
        <v>184</v>
      </c>
      <c r="B31" s="293" t="s">
        <v>266</v>
      </c>
      <c r="C31" s="293" t="s">
        <v>230</v>
      </c>
      <c r="D31" s="293" t="s">
        <v>231</v>
      </c>
      <c r="E31" s="296">
        <v>45717</v>
      </c>
      <c r="F31" s="295">
        <v>300000</v>
      </c>
      <c r="G31" s="295">
        <v>293768.77751548996</v>
      </c>
    </row>
    <row r="32" spans="1:7">
      <c r="A32" s="293">
        <v>184</v>
      </c>
      <c r="B32" s="293" t="s">
        <v>269</v>
      </c>
      <c r="C32" s="293" t="s">
        <v>230</v>
      </c>
      <c r="D32" s="293" t="s">
        <v>231</v>
      </c>
      <c r="E32" s="296">
        <v>45717</v>
      </c>
      <c r="F32" s="295">
        <v>140000</v>
      </c>
      <c r="G32" s="295">
        <v>145579.558735225</v>
      </c>
    </row>
    <row r="33" spans="1:7">
      <c r="A33" s="293">
        <v>192</v>
      </c>
      <c r="B33" s="293" t="s">
        <v>260</v>
      </c>
      <c r="C33" s="293" t="s">
        <v>219</v>
      </c>
      <c r="D33" s="293" t="s">
        <v>307</v>
      </c>
      <c r="E33" s="296">
        <v>45717</v>
      </c>
      <c r="F33" s="295">
        <v>150000</v>
      </c>
      <c r="G33" s="295">
        <v>92181.72</v>
      </c>
    </row>
    <row r="34" spans="1:7">
      <c r="A34" s="293">
        <v>202</v>
      </c>
      <c r="B34" s="293" t="s">
        <v>263</v>
      </c>
      <c r="C34" s="293" t="s">
        <v>219</v>
      </c>
      <c r="D34" s="293" t="s">
        <v>307</v>
      </c>
      <c r="E34" s="296">
        <v>45717</v>
      </c>
      <c r="F34" s="295">
        <v>0</v>
      </c>
      <c r="G34" s="295">
        <v>0</v>
      </c>
    </row>
    <row r="35" spans="1:7">
      <c r="A35" s="293">
        <v>208</v>
      </c>
      <c r="B35" s="293" t="s">
        <v>284</v>
      </c>
      <c r="C35" s="293" t="s">
        <v>215</v>
      </c>
      <c r="D35" s="293" t="s">
        <v>231</v>
      </c>
      <c r="E35" s="296">
        <v>45717</v>
      </c>
      <c r="F35" s="295">
        <v>1370000</v>
      </c>
      <c r="G35" s="295">
        <v>1397143.6099999999</v>
      </c>
    </row>
    <row r="36" spans="1:7">
      <c r="A36" s="293">
        <v>215</v>
      </c>
      <c r="B36" s="293" t="s">
        <v>296</v>
      </c>
      <c r="C36" s="293" t="s">
        <v>219</v>
      </c>
      <c r="D36" s="293" t="s">
        <v>231</v>
      </c>
      <c r="E36" s="296">
        <v>45717</v>
      </c>
      <c r="F36" s="295">
        <v>0</v>
      </c>
      <c r="G36" s="295">
        <v>0</v>
      </c>
    </row>
    <row r="37" spans="1:7">
      <c r="A37" s="293">
        <v>217</v>
      </c>
      <c r="B37" s="293" t="s">
        <v>303</v>
      </c>
      <c r="C37" s="293" t="s">
        <v>216</v>
      </c>
      <c r="D37" s="293" t="s">
        <v>300</v>
      </c>
      <c r="E37" s="296">
        <v>45717</v>
      </c>
      <c r="F37" s="295">
        <v>0</v>
      </c>
      <c r="G37" s="295">
        <v>0</v>
      </c>
    </row>
    <row r="38" spans="1:7">
      <c r="A38" s="293">
        <v>218</v>
      </c>
      <c r="B38" s="293" t="s">
        <v>298</v>
      </c>
      <c r="C38" s="293" t="s">
        <v>299</v>
      </c>
      <c r="D38" s="293" t="s">
        <v>301</v>
      </c>
      <c r="E38" s="296">
        <v>45717</v>
      </c>
      <c r="F38" s="295">
        <v>290064.15999999997</v>
      </c>
      <c r="G38" s="295">
        <v>290064.15999999997</v>
      </c>
    </row>
    <row r="39" spans="1:7">
      <c r="A39" s="293">
        <v>220</v>
      </c>
      <c r="B39" s="293" t="s">
        <v>306</v>
      </c>
      <c r="C39" s="293" t="s">
        <v>222</v>
      </c>
      <c r="D39" s="293" t="s">
        <v>307</v>
      </c>
      <c r="E39" s="296">
        <v>45717</v>
      </c>
      <c r="F39" s="295">
        <v>290064.15999999997</v>
      </c>
      <c r="G39" s="295">
        <v>290064.15999999997</v>
      </c>
    </row>
    <row r="40" spans="1:7">
      <c r="A40" s="293">
        <v>106</v>
      </c>
      <c r="B40" s="293" t="s">
        <v>210</v>
      </c>
      <c r="C40" s="293" t="s">
        <v>214</v>
      </c>
      <c r="D40" s="293" t="s">
        <v>202</v>
      </c>
      <c r="E40" s="296">
        <v>45748</v>
      </c>
      <c r="F40" s="295">
        <v>245000</v>
      </c>
      <c r="G40" s="295">
        <v>252573.51</v>
      </c>
    </row>
    <row r="41" spans="1:7">
      <c r="A41" s="293">
        <v>154</v>
      </c>
      <c r="B41" s="293" t="s">
        <v>206</v>
      </c>
      <c r="C41" s="293" t="s">
        <v>219</v>
      </c>
      <c r="D41" s="293" t="s">
        <v>307</v>
      </c>
      <c r="E41" s="296">
        <v>45748</v>
      </c>
      <c r="F41" s="295">
        <v>125000</v>
      </c>
      <c r="G41" s="295">
        <v>127017.52</v>
      </c>
    </row>
    <row r="42" spans="1:7">
      <c r="A42" s="293">
        <v>159</v>
      </c>
      <c r="B42" s="293" t="s">
        <v>310</v>
      </c>
      <c r="C42" s="293" t="s">
        <v>215</v>
      </c>
      <c r="D42" s="293" t="s">
        <v>204</v>
      </c>
      <c r="E42" s="296">
        <v>45748</v>
      </c>
      <c r="F42" s="295">
        <v>72000</v>
      </c>
      <c r="G42" s="295">
        <v>110093.142589</v>
      </c>
    </row>
    <row r="43" spans="1:7">
      <c r="A43" s="293">
        <v>174</v>
      </c>
      <c r="B43" s="293" t="s">
        <v>226</v>
      </c>
      <c r="C43" s="293" t="s">
        <v>222</v>
      </c>
      <c r="D43" s="293" t="s">
        <v>307</v>
      </c>
      <c r="E43" s="296">
        <v>45748</v>
      </c>
      <c r="F43" s="295">
        <v>239000</v>
      </c>
      <c r="G43" s="295">
        <v>354792.61</v>
      </c>
    </row>
    <row r="44" spans="1:7">
      <c r="A44" s="293">
        <v>175</v>
      </c>
      <c r="B44" s="293" t="s">
        <v>224</v>
      </c>
      <c r="C44" s="293" t="s">
        <v>217</v>
      </c>
      <c r="D44" s="293" t="s">
        <v>225</v>
      </c>
      <c r="E44" s="296">
        <v>45748</v>
      </c>
      <c r="F44" s="295">
        <v>445485.93</v>
      </c>
      <c r="G44" s="295">
        <v>445485.93</v>
      </c>
    </row>
    <row r="45" spans="1:7">
      <c r="A45" s="293">
        <v>183</v>
      </c>
      <c r="B45" s="293" t="s">
        <v>232</v>
      </c>
      <c r="C45" s="293" t="s">
        <v>217</v>
      </c>
      <c r="D45" s="293" t="s">
        <v>225</v>
      </c>
      <c r="E45" s="296">
        <v>45748</v>
      </c>
      <c r="F45" s="295">
        <v>120000</v>
      </c>
      <c r="G45" s="295">
        <v>210261.44</v>
      </c>
    </row>
    <row r="46" spans="1:7">
      <c r="A46" s="293">
        <v>184</v>
      </c>
      <c r="B46" s="293" t="s">
        <v>266</v>
      </c>
      <c r="C46" s="293" t="s">
        <v>230</v>
      </c>
      <c r="D46" s="293" t="s">
        <v>231</v>
      </c>
      <c r="E46" s="296">
        <v>45748</v>
      </c>
      <c r="F46" s="295">
        <v>500000</v>
      </c>
      <c r="G46" s="295">
        <v>523177.87407679996</v>
      </c>
    </row>
    <row r="47" spans="1:7">
      <c r="A47" s="293">
        <v>184</v>
      </c>
      <c r="B47" s="293" t="s">
        <v>269</v>
      </c>
      <c r="C47" s="293" t="s">
        <v>230</v>
      </c>
      <c r="D47" s="293" t="s">
        <v>231</v>
      </c>
      <c r="E47" s="296">
        <v>45748</v>
      </c>
      <c r="F47" s="295">
        <v>265000</v>
      </c>
      <c r="G47" s="295">
        <v>274123.785965905</v>
      </c>
    </row>
    <row r="48" spans="1:7">
      <c r="A48" s="293">
        <v>192</v>
      </c>
      <c r="B48" s="293" t="s">
        <v>260</v>
      </c>
      <c r="C48" s="293" t="s">
        <v>219</v>
      </c>
      <c r="D48" s="293" t="s">
        <v>307</v>
      </c>
      <c r="E48" s="296">
        <v>45748</v>
      </c>
      <c r="F48" s="295">
        <v>175000</v>
      </c>
      <c r="G48" s="295">
        <v>339470.45999999996</v>
      </c>
    </row>
    <row r="49" spans="1:7">
      <c r="A49" s="293">
        <v>202</v>
      </c>
      <c r="B49" s="293" t="s">
        <v>263</v>
      </c>
      <c r="C49" s="293" t="s">
        <v>219</v>
      </c>
      <c r="D49" s="293" t="s">
        <v>307</v>
      </c>
      <c r="E49" s="296">
        <v>45748</v>
      </c>
      <c r="F49" s="295">
        <v>22000</v>
      </c>
      <c r="G49" s="295">
        <v>30283.15</v>
      </c>
    </row>
    <row r="50" spans="1:7">
      <c r="A50" s="293">
        <v>208</v>
      </c>
      <c r="B50" s="293" t="s">
        <v>284</v>
      </c>
      <c r="C50" s="293" t="s">
        <v>215</v>
      </c>
      <c r="D50" s="293" t="s">
        <v>231</v>
      </c>
      <c r="E50" s="296">
        <v>45748</v>
      </c>
      <c r="F50" s="295">
        <v>374000</v>
      </c>
      <c r="G50" s="295">
        <v>373407.7182</v>
      </c>
    </row>
    <row r="51" spans="1:7">
      <c r="A51" s="293">
        <v>215</v>
      </c>
      <c r="B51" s="293" t="s">
        <v>296</v>
      </c>
      <c r="C51" s="293" t="s">
        <v>219</v>
      </c>
      <c r="D51" s="293" t="s">
        <v>231</v>
      </c>
      <c r="E51" s="296">
        <v>45748</v>
      </c>
      <c r="F51" s="295">
        <v>300000</v>
      </c>
      <c r="G51" s="295">
        <v>273622.57</v>
      </c>
    </row>
    <row r="52" spans="1:7">
      <c r="A52" s="293">
        <v>217</v>
      </c>
      <c r="B52" s="293" t="s">
        <v>303</v>
      </c>
      <c r="C52" s="293" t="s">
        <v>216</v>
      </c>
      <c r="D52" s="293" t="s">
        <v>300</v>
      </c>
      <c r="E52" s="296">
        <v>45748</v>
      </c>
      <c r="F52" s="295">
        <v>200000</v>
      </c>
      <c r="G52" s="295">
        <v>198060.33</v>
      </c>
    </row>
    <row r="53" spans="1:7">
      <c r="A53" s="293">
        <v>218</v>
      </c>
      <c r="B53" s="293" t="s">
        <v>298</v>
      </c>
      <c r="C53" s="293" t="s">
        <v>299</v>
      </c>
      <c r="D53" s="293" t="s">
        <v>301</v>
      </c>
      <c r="E53" s="296">
        <v>45748</v>
      </c>
      <c r="F53" s="295">
        <v>250000</v>
      </c>
      <c r="G53" s="295">
        <v>0</v>
      </c>
    </row>
    <row r="54" spans="1:7">
      <c r="A54" s="293">
        <v>220</v>
      </c>
      <c r="B54" s="293" t="s">
        <v>306</v>
      </c>
      <c r="C54" s="293" t="s">
        <v>222</v>
      </c>
      <c r="D54" s="293" t="s">
        <v>307</v>
      </c>
      <c r="E54" s="296">
        <v>45748</v>
      </c>
      <c r="F54" s="295">
        <v>0</v>
      </c>
      <c r="G54" s="295">
        <v>0</v>
      </c>
    </row>
    <row r="55" spans="1:7">
      <c r="A55" s="293">
        <v>225</v>
      </c>
      <c r="B55" s="293" t="s">
        <v>302</v>
      </c>
      <c r="C55" s="293" t="s">
        <v>219</v>
      </c>
      <c r="D55" s="293" t="s">
        <v>307</v>
      </c>
      <c r="E55" s="296">
        <v>45748</v>
      </c>
      <c r="F55" s="295">
        <v>0</v>
      </c>
      <c r="G55" s="295">
        <v>0</v>
      </c>
    </row>
    <row r="56" spans="1:7">
      <c r="A56" s="293">
        <v>227</v>
      </c>
      <c r="B56" s="293" t="s">
        <v>304</v>
      </c>
      <c r="C56" s="293" t="s">
        <v>219</v>
      </c>
      <c r="D56" s="293" t="s">
        <v>305</v>
      </c>
      <c r="E56" s="296">
        <v>45748</v>
      </c>
      <c r="F56" s="295">
        <v>0</v>
      </c>
      <c r="G56" s="295">
        <v>0</v>
      </c>
    </row>
    <row r="57" spans="1:7">
      <c r="A57" s="293">
        <v>106</v>
      </c>
      <c r="B57" s="293" t="s">
        <v>210</v>
      </c>
      <c r="C57" s="293" t="s">
        <v>214</v>
      </c>
      <c r="D57" s="293" t="s">
        <v>202</v>
      </c>
      <c r="E57" s="296">
        <v>45778</v>
      </c>
      <c r="F57" s="295">
        <v>260000</v>
      </c>
      <c r="G57" s="295"/>
    </row>
    <row r="58" spans="1:7">
      <c r="A58" s="293">
        <v>154</v>
      </c>
      <c r="B58" s="293" t="s">
        <v>206</v>
      </c>
      <c r="C58" s="293" t="s">
        <v>219</v>
      </c>
      <c r="D58" s="293" t="s">
        <v>307</v>
      </c>
      <c r="E58" s="296">
        <v>45778</v>
      </c>
      <c r="F58" s="295">
        <v>44000</v>
      </c>
      <c r="G58" s="295">
        <v>54238.35</v>
      </c>
    </row>
    <row r="59" spans="1:7">
      <c r="A59" s="293">
        <v>159</v>
      </c>
      <c r="B59" s="293" t="s">
        <v>310</v>
      </c>
      <c r="C59" s="293" t="s">
        <v>215</v>
      </c>
      <c r="D59" s="293" t="s">
        <v>204</v>
      </c>
      <c r="E59" s="296">
        <v>45778</v>
      </c>
      <c r="F59" s="295">
        <v>90000</v>
      </c>
      <c r="G59" s="295"/>
    </row>
    <row r="60" spans="1:7">
      <c r="A60" s="293">
        <v>174</v>
      </c>
      <c r="B60" s="293" t="s">
        <v>226</v>
      </c>
      <c r="C60" s="293" t="s">
        <v>222</v>
      </c>
      <c r="D60" s="293" t="s">
        <v>307</v>
      </c>
      <c r="E60" s="296">
        <v>45778</v>
      </c>
      <c r="F60" s="295">
        <v>175000</v>
      </c>
      <c r="G60" s="295">
        <v>211010.78999999998</v>
      </c>
    </row>
    <row r="61" spans="1:7">
      <c r="A61" s="293">
        <v>175</v>
      </c>
      <c r="B61" s="293" t="s">
        <v>224</v>
      </c>
      <c r="C61" s="293" t="s">
        <v>217</v>
      </c>
      <c r="D61" s="293" t="s">
        <v>225</v>
      </c>
      <c r="E61" s="296">
        <v>45778</v>
      </c>
      <c r="F61" s="295">
        <v>450000</v>
      </c>
      <c r="G61" s="295">
        <v>1044732.9</v>
      </c>
    </row>
    <row r="62" spans="1:7">
      <c r="A62" s="293">
        <v>183</v>
      </c>
      <c r="B62" s="293" t="s">
        <v>232</v>
      </c>
      <c r="C62" s="293" t="s">
        <v>217</v>
      </c>
      <c r="D62" s="293" t="s">
        <v>225</v>
      </c>
      <c r="E62" s="296">
        <v>45778</v>
      </c>
      <c r="F62" s="295">
        <v>0</v>
      </c>
      <c r="G62" s="295">
        <v>0</v>
      </c>
    </row>
    <row r="63" spans="1:7">
      <c r="A63" s="293">
        <v>184</v>
      </c>
      <c r="B63" s="293" t="s">
        <v>266</v>
      </c>
      <c r="C63" s="293" t="s">
        <v>230</v>
      </c>
      <c r="D63" s="293" t="s">
        <v>231</v>
      </c>
      <c r="E63" s="296">
        <v>45778</v>
      </c>
      <c r="F63" s="295">
        <v>400000</v>
      </c>
      <c r="G63" s="295">
        <v>128994.7340768</v>
      </c>
    </row>
    <row r="64" spans="1:7">
      <c r="A64" s="293">
        <v>184</v>
      </c>
      <c r="B64" s="293" t="s">
        <v>269</v>
      </c>
      <c r="C64" s="293" t="s">
        <v>230</v>
      </c>
      <c r="D64" s="293" t="s">
        <v>231</v>
      </c>
      <c r="E64" s="296">
        <v>45778</v>
      </c>
      <c r="F64" s="295">
        <v>250000</v>
      </c>
      <c r="G64" s="295"/>
    </row>
    <row r="65" spans="1:7">
      <c r="A65" s="293">
        <v>192</v>
      </c>
      <c r="B65" s="293" t="s">
        <v>260</v>
      </c>
      <c r="C65" s="293" t="s">
        <v>219</v>
      </c>
      <c r="D65" s="293" t="s">
        <v>307</v>
      </c>
      <c r="E65" s="296">
        <v>45778</v>
      </c>
      <c r="F65" s="295">
        <v>150000</v>
      </c>
      <c r="G65" s="295"/>
    </row>
    <row r="66" spans="1:7">
      <c r="A66" s="293">
        <v>202</v>
      </c>
      <c r="B66" s="293" t="s">
        <v>263</v>
      </c>
      <c r="C66" s="293" t="s">
        <v>219</v>
      </c>
      <c r="D66" s="293" t="s">
        <v>307</v>
      </c>
      <c r="E66" s="296">
        <v>45778</v>
      </c>
      <c r="F66" s="295">
        <v>0</v>
      </c>
      <c r="G66" s="295">
        <v>0</v>
      </c>
    </row>
    <row r="67" spans="1:7">
      <c r="A67" s="293">
        <v>208</v>
      </c>
      <c r="B67" s="293" t="s">
        <v>284</v>
      </c>
      <c r="C67" s="293" t="s">
        <v>215</v>
      </c>
      <c r="D67" s="293" t="s">
        <v>231</v>
      </c>
      <c r="E67" s="296">
        <v>45778</v>
      </c>
      <c r="F67" s="295">
        <v>350000</v>
      </c>
      <c r="G67" s="295">
        <v>327098.08</v>
      </c>
    </row>
    <row r="68" spans="1:7">
      <c r="A68" s="293">
        <v>215</v>
      </c>
      <c r="B68" s="293" t="s">
        <v>296</v>
      </c>
      <c r="C68" s="293" t="s">
        <v>219</v>
      </c>
      <c r="D68" s="293" t="s">
        <v>231</v>
      </c>
      <c r="E68" s="296">
        <v>45778</v>
      </c>
      <c r="F68" s="295">
        <v>5000</v>
      </c>
      <c r="G68" s="295">
        <v>7295.8399999999992</v>
      </c>
    </row>
    <row r="69" spans="1:7">
      <c r="A69" s="293">
        <v>217</v>
      </c>
      <c r="B69" s="293" t="s">
        <v>303</v>
      </c>
      <c r="C69" s="293" t="s">
        <v>216</v>
      </c>
      <c r="D69" s="293" t="s">
        <v>300</v>
      </c>
      <c r="E69" s="296">
        <v>45778</v>
      </c>
      <c r="F69" s="295">
        <v>0</v>
      </c>
      <c r="G69" s="295">
        <v>0</v>
      </c>
    </row>
    <row r="70" spans="1:7">
      <c r="A70" s="293">
        <v>218</v>
      </c>
      <c r="B70" s="293" t="s">
        <v>298</v>
      </c>
      <c r="C70" s="293" t="s">
        <v>299</v>
      </c>
      <c r="D70" s="293" t="s">
        <v>301</v>
      </c>
      <c r="E70" s="296">
        <v>45778</v>
      </c>
      <c r="F70" s="295">
        <v>0</v>
      </c>
      <c r="G70" s="295">
        <v>0</v>
      </c>
    </row>
    <row r="71" spans="1:7">
      <c r="A71" s="293">
        <v>220</v>
      </c>
      <c r="B71" s="293" t="s">
        <v>306</v>
      </c>
      <c r="C71" s="293" t="s">
        <v>222</v>
      </c>
      <c r="D71" s="293" t="s">
        <v>307</v>
      </c>
      <c r="E71" s="296">
        <v>45778</v>
      </c>
      <c r="F71" s="295">
        <v>0</v>
      </c>
      <c r="G71" s="295">
        <v>0</v>
      </c>
    </row>
    <row r="72" spans="1:7">
      <c r="A72" s="293">
        <v>225</v>
      </c>
      <c r="B72" s="293" t="s">
        <v>302</v>
      </c>
      <c r="C72" s="293" t="s">
        <v>219</v>
      </c>
      <c r="D72" s="293" t="s">
        <v>307</v>
      </c>
      <c r="E72" s="296">
        <v>45778</v>
      </c>
      <c r="F72" s="295">
        <v>106731.25</v>
      </c>
      <c r="G72" s="295">
        <v>92322.53125</v>
      </c>
    </row>
    <row r="73" spans="1:7">
      <c r="A73" s="293">
        <v>227</v>
      </c>
      <c r="B73" s="293" t="s">
        <v>304</v>
      </c>
      <c r="C73" s="293" t="s">
        <v>219</v>
      </c>
      <c r="D73" s="293" t="s">
        <v>305</v>
      </c>
      <c r="E73" s="296">
        <v>45778</v>
      </c>
      <c r="F73" s="295">
        <v>0</v>
      </c>
      <c r="G73" s="295">
        <v>0</v>
      </c>
    </row>
    <row r="74" spans="1:7">
      <c r="A74" s="293">
        <v>106</v>
      </c>
      <c r="B74" s="293" t="s">
        <v>210</v>
      </c>
      <c r="C74" s="293" t="s">
        <v>214</v>
      </c>
      <c r="D74" s="293" t="s">
        <v>202</v>
      </c>
      <c r="E74" s="296">
        <v>45809</v>
      </c>
      <c r="F74" s="295">
        <v>440000</v>
      </c>
      <c r="G74" s="295">
        <v>0</v>
      </c>
    </row>
    <row r="75" spans="1:7">
      <c r="A75" s="293">
        <v>154</v>
      </c>
      <c r="B75" s="293" t="s">
        <v>206</v>
      </c>
      <c r="C75" s="293" t="s">
        <v>219</v>
      </c>
      <c r="D75" s="293" t="s">
        <v>307</v>
      </c>
      <c r="E75" s="296">
        <v>45809</v>
      </c>
      <c r="F75" s="295">
        <v>130000</v>
      </c>
      <c r="G75" s="295">
        <v>0</v>
      </c>
    </row>
    <row r="76" spans="1:7">
      <c r="A76" s="293">
        <v>159</v>
      </c>
      <c r="B76" s="293" t="s">
        <v>310</v>
      </c>
      <c r="C76" s="293" t="s">
        <v>215</v>
      </c>
      <c r="D76" s="293" t="s">
        <v>204</v>
      </c>
      <c r="E76" s="296">
        <v>45809</v>
      </c>
      <c r="F76" s="295">
        <v>12000</v>
      </c>
      <c r="G76" s="295">
        <v>0</v>
      </c>
    </row>
    <row r="77" spans="1:7">
      <c r="A77" s="293">
        <v>174</v>
      </c>
      <c r="B77" s="293" t="s">
        <v>226</v>
      </c>
      <c r="C77" s="293" t="s">
        <v>222</v>
      </c>
      <c r="D77" s="293" t="s">
        <v>307</v>
      </c>
      <c r="E77" s="296">
        <v>45809</v>
      </c>
      <c r="F77" s="295">
        <v>200000</v>
      </c>
      <c r="G77" s="295">
        <v>0</v>
      </c>
    </row>
    <row r="78" spans="1:7">
      <c r="A78" s="293">
        <v>175</v>
      </c>
      <c r="B78" s="293" t="s">
        <v>224</v>
      </c>
      <c r="C78" s="293" t="s">
        <v>217</v>
      </c>
      <c r="D78" s="293" t="s">
        <v>225</v>
      </c>
      <c r="E78" s="296">
        <v>45809</v>
      </c>
      <c r="F78" s="295">
        <v>175000</v>
      </c>
      <c r="G78" s="295">
        <v>0</v>
      </c>
    </row>
    <row r="79" spans="1:7">
      <c r="A79" s="293">
        <v>183</v>
      </c>
      <c r="B79" s="293" t="s">
        <v>232</v>
      </c>
      <c r="C79" s="293" t="s">
        <v>217</v>
      </c>
      <c r="D79" s="293" t="s">
        <v>225</v>
      </c>
      <c r="E79" s="296">
        <v>45809</v>
      </c>
      <c r="F79" s="295">
        <v>120000</v>
      </c>
      <c r="G79" s="295">
        <v>0</v>
      </c>
    </row>
    <row r="80" spans="1:7">
      <c r="A80" s="293">
        <v>184</v>
      </c>
      <c r="B80" s="293" t="s">
        <v>266</v>
      </c>
      <c r="C80" s="293" t="s">
        <v>230</v>
      </c>
      <c r="D80" s="293" t="s">
        <v>231</v>
      </c>
      <c r="E80" s="296">
        <v>45809</v>
      </c>
      <c r="F80" s="295">
        <v>250000</v>
      </c>
      <c r="G80" s="295">
        <v>0</v>
      </c>
    </row>
    <row r="81" spans="1:7">
      <c r="A81" s="293">
        <v>184</v>
      </c>
      <c r="B81" s="293" t="s">
        <v>269</v>
      </c>
      <c r="C81" s="293" t="s">
        <v>230</v>
      </c>
      <c r="D81" s="293" t="s">
        <v>231</v>
      </c>
      <c r="E81" s="296">
        <v>45809</v>
      </c>
      <c r="F81" s="295">
        <v>150000</v>
      </c>
      <c r="G81" s="295">
        <v>0</v>
      </c>
    </row>
    <row r="82" spans="1:7">
      <c r="A82" s="293">
        <v>192</v>
      </c>
      <c r="B82" s="293" t="s">
        <v>260</v>
      </c>
      <c r="C82" s="293" t="s">
        <v>219</v>
      </c>
      <c r="D82" s="293" t="s">
        <v>307</v>
      </c>
      <c r="E82" s="296">
        <v>45809</v>
      </c>
      <c r="F82" s="295">
        <v>50000</v>
      </c>
      <c r="G82" s="295">
        <v>0</v>
      </c>
    </row>
    <row r="83" spans="1:7">
      <c r="A83" s="293">
        <v>202</v>
      </c>
      <c r="B83" s="293" t="s">
        <v>263</v>
      </c>
      <c r="C83" s="293" t="s">
        <v>219</v>
      </c>
      <c r="D83" s="293" t="s">
        <v>307</v>
      </c>
      <c r="E83" s="296">
        <v>45809</v>
      </c>
      <c r="F83" s="295">
        <v>25000</v>
      </c>
      <c r="G83" s="295">
        <v>0</v>
      </c>
    </row>
    <row r="84" spans="1:7">
      <c r="A84" s="293">
        <v>208</v>
      </c>
      <c r="B84" s="293" t="s">
        <v>284</v>
      </c>
      <c r="C84" s="293" t="s">
        <v>215</v>
      </c>
      <c r="D84" s="293" t="s">
        <v>231</v>
      </c>
      <c r="E84" s="296">
        <v>45809</v>
      </c>
      <c r="F84" s="295">
        <v>577754</v>
      </c>
      <c r="G84" s="295">
        <v>0</v>
      </c>
    </row>
    <row r="85" spans="1:7">
      <c r="A85" s="293">
        <v>215</v>
      </c>
      <c r="B85" s="293" t="s">
        <v>296</v>
      </c>
      <c r="C85" s="293" t="s">
        <v>219</v>
      </c>
      <c r="D85" s="293" t="s">
        <v>231</v>
      </c>
      <c r="E85" s="296">
        <v>45809</v>
      </c>
      <c r="F85" s="295">
        <v>5000</v>
      </c>
      <c r="G85" s="295">
        <v>0</v>
      </c>
    </row>
    <row r="86" spans="1:7">
      <c r="A86" s="293">
        <v>217</v>
      </c>
      <c r="B86" s="293" t="s">
        <v>303</v>
      </c>
      <c r="C86" s="293" t="s">
        <v>216</v>
      </c>
      <c r="D86" s="293" t="s">
        <v>300</v>
      </c>
      <c r="E86" s="296">
        <v>45809</v>
      </c>
      <c r="F86" s="295">
        <v>0</v>
      </c>
      <c r="G86" s="295">
        <v>0</v>
      </c>
    </row>
    <row r="87" spans="1:7">
      <c r="A87" s="293">
        <v>218</v>
      </c>
      <c r="B87" s="293" t="s">
        <v>298</v>
      </c>
      <c r="C87" s="293" t="s">
        <v>299</v>
      </c>
      <c r="D87" s="293" t="s">
        <v>301</v>
      </c>
      <c r="E87" s="296">
        <v>45809</v>
      </c>
      <c r="F87" s="295">
        <v>450000</v>
      </c>
      <c r="G87" s="295">
        <v>0</v>
      </c>
    </row>
    <row r="88" spans="1:7">
      <c r="A88" s="293">
        <v>220</v>
      </c>
      <c r="B88" s="293" t="s">
        <v>306</v>
      </c>
      <c r="C88" s="293" t="s">
        <v>222</v>
      </c>
      <c r="D88" s="293" t="s">
        <v>307</v>
      </c>
      <c r="E88" s="296">
        <v>45809</v>
      </c>
      <c r="F88" s="295">
        <v>0</v>
      </c>
      <c r="G88" s="295">
        <v>0</v>
      </c>
    </row>
    <row r="89" spans="1:7">
      <c r="A89" s="293">
        <v>225</v>
      </c>
      <c r="B89" s="293" t="s">
        <v>302</v>
      </c>
      <c r="C89" s="293" t="s">
        <v>219</v>
      </c>
      <c r="D89" s="293" t="s">
        <v>307</v>
      </c>
      <c r="E89" s="296">
        <v>45809</v>
      </c>
      <c r="F89" s="295">
        <v>106731.25</v>
      </c>
      <c r="G89" s="295">
        <v>0</v>
      </c>
    </row>
    <row r="90" spans="1:7">
      <c r="A90" s="293">
        <v>227</v>
      </c>
      <c r="B90" s="293" t="s">
        <v>304</v>
      </c>
      <c r="C90" s="293" t="s">
        <v>219</v>
      </c>
      <c r="D90" s="293" t="s">
        <v>305</v>
      </c>
      <c r="E90" s="296">
        <v>45809</v>
      </c>
      <c r="F90" s="295">
        <v>80000</v>
      </c>
      <c r="G90" s="295">
        <v>0</v>
      </c>
    </row>
    <row r="91" spans="1:7">
      <c r="A91" s="293">
        <v>106</v>
      </c>
      <c r="B91" s="293" t="s">
        <v>210</v>
      </c>
      <c r="C91" s="293" t="s">
        <v>214</v>
      </c>
      <c r="D91" s="293" t="s">
        <v>202</v>
      </c>
      <c r="E91" s="296">
        <v>45839</v>
      </c>
      <c r="F91" s="295">
        <v>0</v>
      </c>
      <c r="G91" s="295">
        <v>0</v>
      </c>
    </row>
    <row r="92" spans="1:7">
      <c r="A92" s="293">
        <v>154</v>
      </c>
      <c r="B92" s="293" t="s">
        <v>206</v>
      </c>
      <c r="C92" s="293" t="s">
        <v>219</v>
      </c>
      <c r="D92" s="293" t="s">
        <v>307</v>
      </c>
      <c r="E92" s="296">
        <v>45839</v>
      </c>
      <c r="F92" s="295">
        <v>0</v>
      </c>
      <c r="G92" s="295">
        <v>0</v>
      </c>
    </row>
    <row r="93" spans="1:7">
      <c r="A93" s="293">
        <v>159</v>
      </c>
      <c r="B93" s="293" t="s">
        <v>310</v>
      </c>
      <c r="C93" s="293" t="s">
        <v>215</v>
      </c>
      <c r="D93" s="293" t="s">
        <v>204</v>
      </c>
      <c r="E93" s="296">
        <v>45839</v>
      </c>
      <c r="F93" s="295">
        <v>0</v>
      </c>
      <c r="G93" s="295">
        <v>0</v>
      </c>
    </row>
    <row r="94" spans="1:7">
      <c r="A94" s="293">
        <v>162</v>
      </c>
      <c r="B94" s="293" t="s">
        <v>208</v>
      </c>
      <c r="C94" s="293" t="s">
        <v>216</v>
      </c>
      <c r="D94" s="293" t="s">
        <v>203</v>
      </c>
      <c r="E94" s="296">
        <v>45839</v>
      </c>
      <c r="F94" s="295">
        <v>0</v>
      </c>
      <c r="G94" s="295">
        <v>0</v>
      </c>
    </row>
    <row r="95" spans="1:7">
      <c r="A95" s="293">
        <v>174</v>
      </c>
      <c r="B95" s="293" t="s">
        <v>226</v>
      </c>
      <c r="C95" s="293" t="s">
        <v>222</v>
      </c>
      <c r="D95" s="293" t="s">
        <v>307</v>
      </c>
      <c r="E95" s="296">
        <v>45839</v>
      </c>
      <c r="F95" s="295">
        <v>0</v>
      </c>
      <c r="G95" s="295">
        <v>0</v>
      </c>
    </row>
    <row r="96" spans="1:7">
      <c r="A96" s="293">
        <v>175</v>
      </c>
      <c r="B96" s="293" t="s">
        <v>224</v>
      </c>
      <c r="C96" s="293" t="s">
        <v>217</v>
      </c>
      <c r="D96" s="293" t="s">
        <v>225</v>
      </c>
      <c r="E96" s="296">
        <v>45839</v>
      </c>
      <c r="F96" s="295">
        <v>0</v>
      </c>
      <c r="G96" s="295">
        <v>0</v>
      </c>
    </row>
    <row r="97" spans="1:7">
      <c r="A97" s="293">
        <v>183</v>
      </c>
      <c r="B97" s="293" t="s">
        <v>232</v>
      </c>
      <c r="C97" s="293" t="s">
        <v>217</v>
      </c>
      <c r="D97" s="293" t="s">
        <v>225</v>
      </c>
      <c r="E97" s="296">
        <v>45839</v>
      </c>
      <c r="F97" s="295">
        <v>0</v>
      </c>
      <c r="G97" s="295">
        <v>0</v>
      </c>
    </row>
    <row r="98" spans="1:7">
      <c r="A98" s="293">
        <v>184</v>
      </c>
      <c r="B98" s="293" t="s">
        <v>266</v>
      </c>
      <c r="C98" s="293" t="s">
        <v>230</v>
      </c>
      <c r="D98" s="293" t="s">
        <v>231</v>
      </c>
      <c r="E98" s="296">
        <v>45839</v>
      </c>
      <c r="F98" s="295">
        <v>0</v>
      </c>
      <c r="G98" s="295">
        <v>0</v>
      </c>
    </row>
    <row r="99" spans="1:7">
      <c r="A99" s="293">
        <v>184</v>
      </c>
      <c r="B99" s="293" t="s">
        <v>269</v>
      </c>
      <c r="C99" s="293" t="s">
        <v>230</v>
      </c>
      <c r="D99" s="293" t="s">
        <v>231</v>
      </c>
      <c r="E99" s="296">
        <v>45839</v>
      </c>
      <c r="F99" s="295">
        <v>0</v>
      </c>
      <c r="G99" s="295">
        <v>0</v>
      </c>
    </row>
    <row r="100" spans="1:7">
      <c r="A100" s="293">
        <v>192</v>
      </c>
      <c r="B100" s="293" t="s">
        <v>260</v>
      </c>
      <c r="C100" s="293" t="s">
        <v>219</v>
      </c>
      <c r="D100" s="293" t="s">
        <v>307</v>
      </c>
      <c r="E100" s="296">
        <v>45839</v>
      </c>
      <c r="F100" s="295">
        <v>0</v>
      </c>
      <c r="G100" s="295">
        <v>0</v>
      </c>
    </row>
    <row r="101" spans="1:7">
      <c r="A101" s="293">
        <v>202</v>
      </c>
      <c r="B101" s="293" t="s">
        <v>263</v>
      </c>
      <c r="C101" s="293" t="s">
        <v>219</v>
      </c>
      <c r="D101" s="293" t="s">
        <v>307</v>
      </c>
      <c r="E101" s="296">
        <v>45839</v>
      </c>
      <c r="F101" s="295">
        <v>0</v>
      </c>
      <c r="G101" s="295">
        <v>0</v>
      </c>
    </row>
    <row r="102" spans="1:7">
      <c r="A102" s="293">
        <v>208</v>
      </c>
      <c r="B102" s="293" t="s">
        <v>284</v>
      </c>
      <c r="C102" s="293" t="s">
        <v>215</v>
      </c>
      <c r="D102" s="293" t="s">
        <v>231</v>
      </c>
      <c r="E102" s="296">
        <v>45839</v>
      </c>
      <c r="F102" s="295">
        <v>0</v>
      </c>
      <c r="G102" s="295">
        <v>0</v>
      </c>
    </row>
    <row r="103" spans="1:7">
      <c r="A103" s="293">
        <v>215</v>
      </c>
      <c r="B103" s="293" t="s">
        <v>296</v>
      </c>
      <c r="C103" s="293" t="s">
        <v>219</v>
      </c>
      <c r="D103" s="293" t="s">
        <v>231</v>
      </c>
      <c r="E103" s="296">
        <v>45839</v>
      </c>
      <c r="F103" s="295">
        <v>0</v>
      </c>
      <c r="G103" s="295">
        <v>0</v>
      </c>
    </row>
    <row r="104" spans="1:7">
      <c r="A104" s="293">
        <v>217</v>
      </c>
      <c r="B104" s="293" t="s">
        <v>303</v>
      </c>
      <c r="C104" s="293" t="s">
        <v>216</v>
      </c>
      <c r="D104" s="293" t="s">
        <v>300</v>
      </c>
      <c r="E104" s="296">
        <v>45839</v>
      </c>
      <c r="F104" s="295">
        <v>0</v>
      </c>
      <c r="G104" s="295">
        <v>0</v>
      </c>
    </row>
    <row r="105" spans="1:7">
      <c r="A105" s="293">
        <v>218</v>
      </c>
      <c r="B105" s="293" t="s">
        <v>298</v>
      </c>
      <c r="C105" s="293" t="s">
        <v>299</v>
      </c>
      <c r="D105" s="293" t="s">
        <v>301</v>
      </c>
      <c r="E105" s="296">
        <v>45839</v>
      </c>
      <c r="F105" s="295">
        <v>0</v>
      </c>
      <c r="G105" s="295">
        <v>0</v>
      </c>
    </row>
    <row r="106" spans="1:7">
      <c r="A106" s="293">
        <v>220</v>
      </c>
      <c r="B106" s="293" t="s">
        <v>306</v>
      </c>
      <c r="C106" s="293" t="s">
        <v>222</v>
      </c>
      <c r="D106" s="293" t="s">
        <v>307</v>
      </c>
      <c r="E106" s="296">
        <v>45839</v>
      </c>
      <c r="F106" s="295">
        <v>0</v>
      </c>
      <c r="G106" s="295">
        <v>0</v>
      </c>
    </row>
    <row r="107" spans="1:7">
      <c r="A107" s="293">
        <v>225</v>
      </c>
      <c r="B107" s="293" t="s">
        <v>302</v>
      </c>
      <c r="C107" s="293" t="s">
        <v>219</v>
      </c>
      <c r="D107" s="293" t="s">
        <v>307</v>
      </c>
      <c r="E107" s="296">
        <v>45839</v>
      </c>
      <c r="F107" s="295">
        <v>0</v>
      </c>
      <c r="G107" s="295">
        <v>0</v>
      </c>
    </row>
    <row r="108" spans="1:7">
      <c r="A108" s="293">
        <v>227</v>
      </c>
      <c r="B108" s="293" t="s">
        <v>304</v>
      </c>
      <c r="C108" s="293" t="s">
        <v>219</v>
      </c>
      <c r="D108" s="293" t="s">
        <v>305</v>
      </c>
      <c r="E108" s="296">
        <v>45839</v>
      </c>
      <c r="F108" s="295">
        <v>0</v>
      </c>
      <c r="G108" s="29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C2BA-F766-47EF-8569-EB2756BF213B}">
  <dimension ref="A1:E19"/>
  <sheetViews>
    <sheetView tabSelected="1" workbookViewId="0">
      <selection activeCell="E15" sqref="E15"/>
    </sheetView>
  </sheetViews>
  <sheetFormatPr defaultRowHeight="14.4"/>
  <cols>
    <col min="1" max="1" width="16" customWidth="1"/>
    <col min="2" max="2" width="35.77734375" customWidth="1"/>
    <col min="3" max="3" width="10.77734375" customWidth="1"/>
    <col min="4" max="4" width="11.5546875" customWidth="1"/>
    <col min="5" max="5" width="17.6640625" customWidth="1"/>
  </cols>
  <sheetData>
    <row r="1" spans="1:5" ht="15">
      <c r="A1" s="294" t="s">
        <v>313</v>
      </c>
      <c r="B1" s="294" t="s">
        <v>234</v>
      </c>
      <c r="C1" s="294" t="s">
        <v>235</v>
      </c>
      <c r="D1" s="294" t="s">
        <v>236</v>
      </c>
      <c r="E1" s="294" t="s">
        <v>315</v>
      </c>
    </row>
    <row r="2" spans="1:5">
      <c r="A2" s="293">
        <v>106</v>
      </c>
      <c r="B2" s="293" t="s">
        <v>210</v>
      </c>
      <c r="C2" s="293" t="s">
        <v>214</v>
      </c>
      <c r="D2" s="293" t="s">
        <v>202</v>
      </c>
      <c r="E2" s="300"/>
    </row>
    <row r="3" spans="1:5">
      <c r="A3" s="293">
        <v>154</v>
      </c>
      <c r="B3" s="293" t="s">
        <v>206</v>
      </c>
      <c r="C3" s="293" t="s">
        <v>219</v>
      </c>
      <c r="D3" s="293" t="s">
        <v>307</v>
      </c>
      <c r="E3" s="300"/>
    </row>
    <row r="4" spans="1:5">
      <c r="A4" s="293">
        <v>159</v>
      </c>
      <c r="B4" s="293" t="s">
        <v>310</v>
      </c>
      <c r="C4" s="293" t="s">
        <v>215</v>
      </c>
      <c r="D4" s="293" t="s">
        <v>204</v>
      </c>
      <c r="E4" s="300"/>
    </row>
    <row r="5" spans="1:5">
      <c r="A5" s="293">
        <v>162</v>
      </c>
      <c r="B5" s="293" t="s">
        <v>208</v>
      </c>
      <c r="C5" s="293" t="s">
        <v>216</v>
      </c>
      <c r="D5" s="293" t="s">
        <v>203</v>
      </c>
      <c r="E5" s="300"/>
    </row>
    <row r="6" spans="1:5">
      <c r="A6" s="293">
        <v>174</v>
      </c>
      <c r="B6" s="293" t="s">
        <v>226</v>
      </c>
      <c r="C6" s="293" t="s">
        <v>222</v>
      </c>
      <c r="D6" s="293" t="s">
        <v>307</v>
      </c>
      <c r="E6" s="300"/>
    </row>
    <row r="7" spans="1:5">
      <c r="A7" s="293">
        <v>175</v>
      </c>
      <c r="B7" s="293" t="s">
        <v>224</v>
      </c>
      <c r="C7" s="293" t="s">
        <v>217</v>
      </c>
      <c r="D7" s="293" t="s">
        <v>225</v>
      </c>
      <c r="E7" s="300"/>
    </row>
    <row r="8" spans="1:5">
      <c r="A8" s="293">
        <v>183</v>
      </c>
      <c r="B8" s="293" t="s">
        <v>232</v>
      </c>
      <c r="C8" s="293" t="s">
        <v>217</v>
      </c>
      <c r="D8" s="293" t="s">
        <v>225</v>
      </c>
      <c r="E8" s="300"/>
    </row>
    <row r="9" spans="1:5">
      <c r="A9" s="293">
        <v>184</v>
      </c>
      <c r="B9" s="293" t="s">
        <v>266</v>
      </c>
      <c r="C9" s="293" t="s">
        <v>230</v>
      </c>
      <c r="D9" s="293" t="s">
        <v>231</v>
      </c>
      <c r="E9" s="300"/>
    </row>
    <row r="10" spans="1:5">
      <c r="A10" s="293">
        <v>184</v>
      </c>
      <c r="B10" s="293" t="s">
        <v>269</v>
      </c>
      <c r="C10" s="293" t="s">
        <v>230</v>
      </c>
      <c r="D10" s="293" t="s">
        <v>231</v>
      </c>
      <c r="E10" s="300"/>
    </row>
    <row r="11" spans="1:5">
      <c r="A11" s="293">
        <v>192</v>
      </c>
      <c r="B11" s="293" t="s">
        <v>260</v>
      </c>
      <c r="C11" s="293" t="s">
        <v>219</v>
      </c>
      <c r="D11" s="293" t="s">
        <v>307</v>
      </c>
      <c r="E11" s="300"/>
    </row>
    <row r="12" spans="1:5">
      <c r="A12" s="293">
        <v>202</v>
      </c>
      <c r="B12" s="293" t="s">
        <v>263</v>
      </c>
      <c r="C12" s="293" t="s">
        <v>219</v>
      </c>
      <c r="D12" s="293" t="s">
        <v>307</v>
      </c>
      <c r="E12" s="300"/>
    </row>
    <row r="13" spans="1:5">
      <c r="A13" s="293">
        <v>208</v>
      </c>
      <c r="B13" s="293" t="s">
        <v>284</v>
      </c>
      <c r="C13" s="293" t="s">
        <v>215</v>
      </c>
      <c r="D13" s="293" t="s">
        <v>231</v>
      </c>
      <c r="E13" s="300"/>
    </row>
    <row r="14" spans="1:5">
      <c r="A14" s="293">
        <v>215</v>
      </c>
      <c r="B14" s="293" t="s">
        <v>296</v>
      </c>
      <c r="C14" s="293" t="s">
        <v>219</v>
      </c>
      <c r="D14" s="293" t="s">
        <v>231</v>
      </c>
      <c r="E14" s="300">
        <v>68649995.049999997</v>
      </c>
    </row>
    <row r="15" spans="1:5">
      <c r="A15" s="293">
        <v>217</v>
      </c>
      <c r="B15" s="293" t="s">
        <v>303</v>
      </c>
      <c r="C15" s="293" t="s">
        <v>216</v>
      </c>
      <c r="D15" s="293" t="s">
        <v>300</v>
      </c>
      <c r="E15" s="300">
        <v>45864999.119999997</v>
      </c>
    </row>
    <row r="16" spans="1:5">
      <c r="A16" s="293">
        <v>218</v>
      </c>
      <c r="B16" s="293" t="s">
        <v>298</v>
      </c>
      <c r="C16" s="293" t="s">
        <v>299</v>
      </c>
      <c r="D16" s="293" t="s">
        <v>301</v>
      </c>
      <c r="E16" s="300">
        <v>41799747.789999999</v>
      </c>
    </row>
    <row r="17" spans="1:5">
      <c r="A17" s="293">
        <v>220</v>
      </c>
      <c r="B17" s="293" t="s">
        <v>306</v>
      </c>
      <c r="C17" s="293" t="s">
        <v>222</v>
      </c>
      <c r="D17" s="293" t="s">
        <v>307</v>
      </c>
      <c r="E17" s="300"/>
    </row>
    <row r="18" spans="1:5">
      <c r="A18" s="293">
        <v>225</v>
      </c>
      <c r="B18" s="293" t="s">
        <v>314</v>
      </c>
      <c r="C18" s="293" t="s">
        <v>219</v>
      </c>
      <c r="D18" s="293" t="s">
        <v>307</v>
      </c>
      <c r="E18" s="300"/>
    </row>
    <row r="19" spans="1:5">
      <c r="A19" s="293">
        <v>227</v>
      </c>
      <c r="B19" s="293" t="s">
        <v>304</v>
      </c>
      <c r="C19" s="293" t="s">
        <v>219</v>
      </c>
      <c r="D19" s="293" t="s">
        <v>305</v>
      </c>
      <c r="E19" s="30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8E86-B068-4479-B6E6-66A71DE1799A}">
  <dimension ref="E6:H11"/>
  <sheetViews>
    <sheetView workbookViewId="0">
      <selection activeCell="G8" sqref="G8:G10"/>
    </sheetView>
  </sheetViews>
  <sheetFormatPr defaultRowHeight="14.4"/>
  <cols>
    <col min="5" max="5" width="34.88671875" customWidth="1"/>
    <col min="6" max="6" width="12.44140625" customWidth="1"/>
    <col min="7" max="7" width="18" customWidth="1"/>
    <col min="8" max="8" width="28.88671875" customWidth="1"/>
  </cols>
  <sheetData>
    <row r="6" spans="5:8" ht="15.6">
      <c r="E6" s="330" t="s">
        <v>285</v>
      </c>
      <c r="F6" s="331"/>
      <c r="G6" s="331"/>
      <c r="H6" s="331"/>
    </row>
    <row r="7" spans="5:8" s="1" customFormat="1" ht="31.2">
      <c r="E7" s="269" t="s">
        <v>286</v>
      </c>
      <c r="F7" s="269" t="s">
        <v>289</v>
      </c>
      <c r="G7" s="270" t="s">
        <v>291</v>
      </c>
      <c r="H7" s="269" t="s">
        <v>290</v>
      </c>
    </row>
    <row r="8" spans="5:8" ht="15.6">
      <c r="E8" s="271" t="s">
        <v>293</v>
      </c>
      <c r="F8" s="272">
        <v>8286</v>
      </c>
      <c r="G8" s="273">
        <v>45618</v>
      </c>
      <c r="H8" s="274">
        <v>330215.12</v>
      </c>
    </row>
    <row r="9" spans="5:8" ht="15.6">
      <c r="E9" s="271" t="s">
        <v>287</v>
      </c>
      <c r="F9" s="272">
        <v>8307</v>
      </c>
      <c r="G9" s="273">
        <v>45636</v>
      </c>
      <c r="H9" s="274">
        <v>94644.53</v>
      </c>
    </row>
    <row r="10" spans="5:8" ht="15.6">
      <c r="E10" s="271" t="s">
        <v>288</v>
      </c>
      <c r="F10" s="272">
        <v>8352</v>
      </c>
      <c r="G10" s="273">
        <v>45649</v>
      </c>
      <c r="H10" s="274">
        <v>158300.35999999999</v>
      </c>
    </row>
    <row r="11" spans="5:8" ht="15.6">
      <c r="E11" s="332" t="s">
        <v>292</v>
      </c>
      <c r="F11" s="332"/>
      <c r="G11" s="332"/>
      <c r="H11" s="275">
        <f>SUM(H8:H10)</f>
        <v>583160.01</v>
      </c>
    </row>
  </sheetData>
  <mergeCells count="2">
    <mergeCell ref="E6:H6"/>
    <mergeCell ref="E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34D4-F22D-4C41-ACE1-4AECA0A7C011}">
  <dimension ref="A1"/>
  <sheetViews>
    <sheetView workbookViewId="0">
      <selection activeCell="T5" sqref="T5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F88-D1DA-4B63-9B4D-FF08E310CA91}">
  <dimension ref="G2:M38"/>
  <sheetViews>
    <sheetView topLeftCell="E22" workbookViewId="0">
      <selection activeCell="L34" sqref="L34"/>
    </sheetView>
  </sheetViews>
  <sheetFormatPr defaultRowHeight="14.4"/>
  <cols>
    <col min="7" max="7" width="36" customWidth="1"/>
    <col min="8" max="8" width="22.44140625" customWidth="1"/>
    <col min="9" max="9" width="20.5546875" customWidth="1"/>
    <col min="10" max="10" width="22.44140625" customWidth="1"/>
    <col min="11" max="11" width="20.5546875" customWidth="1"/>
    <col min="12" max="12" width="19.44140625" customWidth="1"/>
    <col min="13" max="13" width="19.109375" customWidth="1"/>
  </cols>
  <sheetData>
    <row r="2" spans="7:13" ht="19.8">
      <c r="G2" s="246">
        <v>2024</v>
      </c>
      <c r="H2" s="252"/>
      <c r="I2" s="252"/>
      <c r="J2" s="252"/>
      <c r="K2" s="252"/>
      <c r="L2" s="333" t="str">
        <f>'RESUMO-2024'!G5</f>
        <v>FATURADO R$ 
BRUTO</v>
      </c>
      <c r="M2" s="334"/>
    </row>
    <row r="3" spans="7:13">
      <c r="G3" s="249" t="s">
        <v>271</v>
      </c>
      <c r="H3" s="249"/>
      <c r="I3" s="249"/>
      <c r="J3" s="249"/>
      <c r="K3" s="249"/>
      <c r="L3" s="250">
        <f>'RESUMO-2024'!G32</f>
        <v>2606222.1800000002</v>
      </c>
      <c r="M3" s="247" t="s">
        <v>279</v>
      </c>
    </row>
    <row r="4" spans="7:13">
      <c r="G4" s="249" t="s">
        <v>272</v>
      </c>
      <c r="H4" s="249"/>
      <c r="I4" s="249"/>
      <c r="J4" s="249"/>
      <c r="K4" s="249"/>
      <c r="L4" s="250">
        <f>'RESUMO-2024'!K32</f>
        <v>2957357.8640999999</v>
      </c>
      <c r="M4" s="247" t="s">
        <v>279</v>
      </c>
    </row>
    <row r="5" spans="7:13">
      <c r="G5" s="249" t="s">
        <v>273</v>
      </c>
      <c r="H5" s="249"/>
      <c r="I5" s="249"/>
      <c r="J5" s="249"/>
      <c r="K5" s="249"/>
      <c r="L5" s="250">
        <f>'RESUMO-2024'!O32</f>
        <v>2755868.443</v>
      </c>
      <c r="M5" s="247" t="s">
        <v>279</v>
      </c>
    </row>
    <row r="6" spans="7:13">
      <c r="G6" s="249" t="s">
        <v>274</v>
      </c>
      <c r="H6" s="249"/>
      <c r="I6" s="249"/>
      <c r="J6" s="249"/>
      <c r="K6" s="249"/>
      <c r="L6" s="250">
        <f>'RESUMO-2024'!S32</f>
        <v>2386674.817845</v>
      </c>
      <c r="M6" s="247" t="s">
        <v>279</v>
      </c>
    </row>
    <row r="7" spans="7:13">
      <c r="G7" s="249" t="s">
        <v>275</v>
      </c>
      <c r="H7" s="249"/>
      <c r="I7" s="249"/>
      <c r="J7" s="249"/>
      <c r="K7" s="249"/>
      <c r="L7" s="250">
        <f>'RESUMO-2024'!W32</f>
        <v>4050186.3099999996</v>
      </c>
      <c r="M7" s="247" t="s">
        <v>279</v>
      </c>
    </row>
    <row r="8" spans="7:13">
      <c r="G8" s="249" t="s">
        <v>276</v>
      </c>
      <c r="H8" s="249"/>
      <c r="I8" s="249"/>
      <c r="J8" s="249"/>
      <c r="K8" s="249"/>
      <c r="L8" s="250">
        <f>'RESUMO-2024'!AA32</f>
        <v>6261051.3027019985</v>
      </c>
      <c r="M8" s="247" t="s">
        <v>279</v>
      </c>
    </row>
    <row r="9" spans="7:13">
      <c r="G9" s="249" t="s">
        <v>277</v>
      </c>
      <c r="H9" s="249"/>
      <c r="I9" s="249"/>
      <c r="J9" s="249"/>
      <c r="K9" s="249"/>
      <c r="L9" s="250">
        <f>'RESUMO-2024'!AE32</f>
        <v>2381803.4714001804</v>
      </c>
      <c r="M9" s="247" t="s">
        <v>279</v>
      </c>
    </row>
    <row r="10" spans="7:13">
      <c r="G10" s="249" t="s">
        <v>278</v>
      </c>
      <c r="H10" s="249"/>
      <c r="I10" s="249"/>
      <c r="J10" s="249"/>
      <c r="K10" s="249"/>
      <c r="L10" s="250">
        <f>'RESUMO-2024'!AI32</f>
        <v>3365276.77</v>
      </c>
      <c r="M10" s="247" t="s">
        <v>279</v>
      </c>
    </row>
    <row r="11" spans="7:13">
      <c r="G11" s="249" t="s">
        <v>237</v>
      </c>
      <c r="H11" s="249"/>
      <c r="I11" s="249"/>
      <c r="J11" s="249"/>
      <c r="K11" s="249"/>
      <c r="L11" s="250">
        <f>'RESUMO-2024'!AM32</f>
        <v>3587941.0009999992</v>
      </c>
      <c r="M11" s="247" t="s">
        <v>279</v>
      </c>
    </row>
    <row r="12" spans="7:13">
      <c r="G12" s="249" t="s">
        <v>238</v>
      </c>
      <c r="H12" s="249"/>
      <c r="I12" s="249"/>
      <c r="J12" s="249"/>
      <c r="K12" s="249"/>
      <c r="L12" s="250">
        <f>'RESUMO-2024'!AP32</f>
        <v>2581500</v>
      </c>
      <c r="M12" s="248" t="s">
        <v>280</v>
      </c>
    </row>
    <row r="13" spans="7:13">
      <c r="G13" s="249" t="s">
        <v>239</v>
      </c>
      <c r="H13" s="249"/>
      <c r="I13" s="249"/>
      <c r="J13" s="249"/>
      <c r="K13" s="249"/>
      <c r="L13" s="250">
        <f>'RESUMO-2024'!AT32</f>
        <v>2680000</v>
      </c>
      <c r="M13" s="248" t="s">
        <v>280</v>
      </c>
    </row>
    <row r="14" spans="7:13">
      <c r="G14" s="249" t="s">
        <v>240</v>
      </c>
      <c r="H14" s="249"/>
      <c r="I14" s="249"/>
      <c r="J14" s="249"/>
      <c r="K14" s="249"/>
      <c r="L14" s="250">
        <f>'RESUMO-2024'!AX32</f>
        <v>2611699.1364380103</v>
      </c>
      <c r="M14" s="248" t="s">
        <v>280</v>
      </c>
    </row>
    <row r="15" spans="7:13">
      <c r="G15" s="249" t="s">
        <v>121</v>
      </c>
      <c r="H15" s="249"/>
      <c r="I15" s="249"/>
      <c r="J15" s="249"/>
      <c r="K15" s="249"/>
      <c r="L15" s="251">
        <f>SUM(L3:L14)</f>
        <v>38225581.296485186</v>
      </c>
    </row>
    <row r="23" spans="7:13" ht="19.8">
      <c r="G23" s="246" t="s">
        <v>234</v>
      </c>
      <c r="H23" s="246" t="s">
        <v>241</v>
      </c>
      <c r="I23" s="246" t="s">
        <v>242</v>
      </c>
      <c r="J23" s="246" t="s">
        <v>241</v>
      </c>
      <c r="K23" s="246" t="s">
        <v>242</v>
      </c>
      <c r="L23" s="246" t="s">
        <v>241</v>
      </c>
      <c r="M23" s="246" t="s">
        <v>242</v>
      </c>
    </row>
    <row r="24" spans="7:13" ht="19.8">
      <c r="G24" s="246"/>
      <c r="H24" s="335">
        <v>45505</v>
      </c>
      <c r="I24" s="334"/>
      <c r="J24" s="335">
        <v>45536</v>
      </c>
      <c r="K24" s="334"/>
      <c r="L24" s="335">
        <v>45566</v>
      </c>
      <c r="M24" s="334"/>
    </row>
    <row r="25" spans="7:13">
      <c r="G25" s="254" t="s">
        <v>210</v>
      </c>
      <c r="H25" s="255">
        <v>275000</v>
      </c>
      <c r="I25" s="255">
        <v>283123.64</v>
      </c>
      <c r="J25" s="255">
        <v>275000</v>
      </c>
      <c r="K25" s="255">
        <v>283123.64</v>
      </c>
      <c r="L25" s="255">
        <v>250000</v>
      </c>
      <c r="M25" s="255">
        <v>0</v>
      </c>
    </row>
    <row r="26" spans="7:13">
      <c r="G26" s="254" t="s">
        <v>209</v>
      </c>
      <c r="H26" s="255">
        <v>350000</v>
      </c>
      <c r="I26" s="255">
        <v>396036.08</v>
      </c>
      <c r="J26" s="255">
        <v>350000</v>
      </c>
      <c r="K26" s="255">
        <v>396036.08</v>
      </c>
      <c r="L26" s="255">
        <v>605000</v>
      </c>
      <c r="M26" s="255">
        <v>0</v>
      </c>
    </row>
    <row r="27" spans="7:13">
      <c r="G27" s="254" t="s">
        <v>226</v>
      </c>
      <c r="H27" s="255">
        <v>355000</v>
      </c>
      <c r="I27" s="255">
        <v>324826.21000000002</v>
      </c>
      <c r="J27" s="255">
        <v>355000</v>
      </c>
      <c r="K27" s="255">
        <v>324826.21000000002</v>
      </c>
      <c r="L27" s="255">
        <v>500000</v>
      </c>
      <c r="M27" s="255">
        <v>0</v>
      </c>
    </row>
    <row r="28" spans="7:13">
      <c r="G28" s="254" t="s">
        <v>224</v>
      </c>
      <c r="H28" s="255">
        <v>0</v>
      </c>
      <c r="I28" s="255">
        <v>0</v>
      </c>
      <c r="J28" s="255">
        <v>0</v>
      </c>
      <c r="K28" s="255">
        <v>0</v>
      </c>
      <c r="L28" s="255">
        <v>750000</v>
      </c>
      <c r="M28" s="255">
        <v>0</v>
      </c>
    </row>
    <row r="29" spans="7:13">
      <c r="G29" s="254" t="s">
        <v>266</v>
      </c>
      <c r="H29" s="255">
        <v>700000</v>
      </c>
      <c r="I29" s="255">
        <v>781413.92999999993</v>
      </c>
      <c r="J29" s="255">
        <v>700000</v>
      </c>
      <c r="K29" s="255">
        <v>781413.92999999993</v>
      </c>
      <c r="L29" s="255">
        <v>350000</v>
      </c>
      <c r="M29" s="255">
        <v>0</v>
      </c>
    </row>
    <row r="30" spans="7:13">
      <c r="G30" s="254" t="s">
        <v>269</v>
      </c>
      <c r="H30" s="255">
        <v>300000</v>
      </c>
      <c r="I30" s="255">
        <v>494878.61999999994</v>
      </c>
      <c r="J30" s="255">
        <v>300000</v>
      </c>
      <c r="K30" s="255">
        <v>494878.61999999994</v>
      </c>
      <c r="L30" s="255">
        <v>150000</v>
      </c>
      <c r="M30" s="255">
        <v>0</v>
      </c>
    </row>
    <row r="31" spans="7:13">
      <c r="G31" s="254" t="s">
        <v>260</v>
      </c>
      <c r="H31" s="255">
        <v>267000</v>
      </c>
      <c r="I31" s="255">
        <v>284714.77</v>
      </c>
      <c r="J31" s="255">
        <v>267000</v>
      </c>
      <c r="K31" s="255">
        <v>284714.77</v>
      </c>
      <c r="L31" s="255">
        <v>400000</v>
      </c>
      <c r="M31" s="255">
        <v>0</v>
      </c>
    </row>
    <row r="32" spans="7:13">
      <c r="G32" s="254" t="s">
        <v>263</v>
      </c>
      <c r="H32" s="255">
        <v>507888.1</v>
      </c>
      <c r="I32" s="255">
        <v>532404.38</v>
      </c>
      <c r="J32" s="255">
        <v>507888.1</v>
      </c>
      <c r="K32" s="255">
        <v>532404.38</v>
      </c>
      <c r="L32" s="255">
        <v>315000</v>
      </c>
      <c r="M32" s="255">
        <v>0</v>
      </c>
    </row>
    <row r="33" spans="7:13">
      <c r="G33" s="254" t="s">
        <v>264</v>
      </c>
      <c r="H33" s="255">
        <v>130000</v>
      </c>
      <c r="I33" s="255">
        <v>130000</v>
      </c>
      <c r="J33" s="255">
        <v>130000</v>
      </c>
      <c r="K33" s="255">
        <v>130000</v>
      </c>
      <c r="L33" s="255">
        <v>100000</v>
      </c>
      <c r="M33" s="255">
        <v>0</v>
      </c>
    </row>
    <row r="34" spans="7:13">
      <c r="G34" s="254" t="s">
        <v>281</v>
      </c>
      <c r="H34" s="256">
        <f t="shared" ref="H34:K34" si="0">SUM(H25:H33)</f>
        <v>2884888.1</v>
      </c>
      <c r="I34" s="256">
        <f t="shared" si="0"/>
        <v>3227397.63</v>
      </c>
      <c r="J34" s="256">
        <f t="shared" si="0"/>
        <v>2884888.1</v>
      </c>
      <c r="K34" s="256">
        <f t="shared" si="0"/>
        <v>3227397.63</v>
      </c>
      <c r="L34" s="256">
        <f>SUM(L25:L33)</f>
        <v>3420000</v>
      </c>
      <c r="M34" s="256">
        <f>SUM(M25:M33)</f>
        <v>0</v>
      </c>
    </row>
    <row r="35" spans="7:13">
      <c r="L35" s="253"/>
      <c r="M35" s="253"/>
    </row>
    <row r="36" spans="7:13">
      <c r="L36" s="253"/>
      <c r="M36" s="253"/>
    </row>
    <row r="37" spans="7:13">
      <c r="L37" s="253"/>
      <c r="M37" s="253"/>
    </row>
    <row r="38" spans="7:13">
      <c r="L38" s="253"/>
      <c r="M38" s="253"/>
    </row>
  </sheetData>
  <mergeCells count="4">
    <mergeCell ref="L2:M2"/>
    <mergeCell ref="L24:M24"/>
    <mergeCell ref="J24:K24"/>
    <mergeCell ref="H24:I24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0B69-1D18-4277-9B6B-95B11680C366}">
  <dimension ref="A1:G19"/>
  <sheetViews>
    <sheetView view="pageBreakPreview" topLeftCell="A4" zoomScale="115" zoomScaleNormal="100" zoomScaleSheetLayoutView="115" workbookViewId="0">
      <selection activeCell="L34" sqref="L34"/>
    </sheetView>
  </sheetViews>
  <sheetFormatPr defaultRowHeight="14.4"/>
  <cols>
    <col min="1" max="1" width="36" customWidth="1"/>
    <col min="2" max="2" width="22.44140625" customWidth="1"/>
    <col min="3" max="3" width="20.5546875" customWidth="1"/>
    <col min="4" max="4" width="22.44140625" customWidth="1"/>
    <col min="5" max="5" width="20.5546875" customWidth="1"/>
    <col min="6" max="6" width="19.44140625" customWidth="1"/>
    <col min="7" max="7" width="19.109375" customWidth="1"/>
  </cols>
  <sheetData>
    <row r="1" spans="1:7">
      <c r="A1" s="257"/>
      <c r="B1" s="339" t="s">
        <v>283</v>
      </c>
      <c r="C1" s="339"/>
      <c r="D1" s="339"/>
      <c r="E1" s="339"/>
      <c r="F1" s="339"/>
      <c r="G1" s="340"/>
    </row>
    <row r="2" spans="1:7">
      <c r="A2" s="258"/>
      <c r="B2" s="341"/>
      <c r="C2" s="341"/>
      <c r="D2" s="341"/>
      <c r="E2" s="341"/>
      <c r="F2" s="341"/>
      <c r="G2" s="342"/>
    </row>
    <row r="3" spans="1:7" ht="42.75" customHeight="1">
      <c r="A3" s="258"/>
      <c r="B3" s="343"/>
      <c r="C3" s="343"/>
      <c r="D3" s="343"/>
      <c r="E3" s="343"/>
      <c r="F3" s="343"/>
      <c r="G3" s="344"/>
    </row>
    <row r="4" spans="1:7" ht="19.8">
      <c r="A4" s="337" t="s">
        <v>234</v>
      </c>
      <c r="B4" s="246" t="s">
        <v>241</v>
      </c>
      <c r="C4" s="246" t="s">
        <v>242</v>
      </c>
      <c r="D4" s="246" t="s">
        <v>241</v>
      </c>
      <c r="E4" s="246" t="s">
        <v>242</v>
      </c>
      <c r="F4" s="246" t="s">
        <v>241</v>
      </c>
      <c r="G4" s="259" t="s">
        <v>242</v>
      </c>
    </row>
    <row r="5" spans="1:7" ht="19.8">
      <c r="A5" s="338"/>
      <c r="B5" s="335">
        <v>45505</v>
      </c>
      <c r="C5" s="334"/>
      <c r="D5" s="335">
        <v>45536</v>
      </c>
      <c r="E5" s="334"/>
      <c r="F5" s="335">
        <v>45566</v>
      </c>
      <c r="G5" s="336"/>
    </row>
    <row r="6" spans="1:7">
      <c r="A6" s="260" t="s">
        <v>210</v>
      </c>
      <c r="B6" s="255">
        <v>275000</v>
      </c>
      <c r="C6" s="255">
        <v>283123.64</v>
      </c>
      <c r="D6" s="255">
        <v>275000</v>
      </c>
      <c r="E6" s="255">
        <v>283123.64</v>
      </c>
      <c r="F6" s="255">
        <v>250000</v>
      </c>
      <c r="G6" s="261">
        <v>0</v>
      </c>
    </row>
    <row r="7" spans="1:7">
      <c r="A7" s="260" t="s">
        <v>209</v>
      </c>
      <c r="B7" s="255">
        <v>350000</v>
      </c>
      <c r="C7" s="255">
        <v>396036.08</v>
      </c>
      <c r="D7" s="255">
        <v>350000</v>
      </c>
      <c r="E7" s="255">
        <v>396036.08</v>
      </c>
      <c r="F7" s="255">
        <v>605000</v>
      </c>
      <c r="G7" s="261">
        <v>0</v>
      </c>
    </row>
    <row r="8" spans="1:7">
      <c r="A8" s="260" t="s">
        <v>226</v>
      </c>
      <c r="B8" s="255">
        <v>355000</v>
      </c>
      <c r="C8" s="255">
        <v>324826.21000000002</v>
      </c>
      <c r="D8" s="255">
        <v>355000</v>
      </c>
      <c r="E8" s="255">
        <v>324826.21000000002</v>
      </c>
      <c r="F8" s="255">
        <v>500000</v>
      </c>
      <c r="G8" s="261">
        <v>0</v>
      </c>
    </row>
    <row r="9" spans="1:7">
      <c r="A9" s="260" t="s">
        <v>224</v>
      </c>
      <c r="B9" s="255">
        <v>0</v>
      </c>
      <c r="C9" s="255">
        <v>0</v>
      </c>
      <c r="D9" s="255">
        <v>0</v>
      </c>
      <c r="E9" s="255">
        <v>0</v>
      </c>
      <c r="F9" s="255">
        <v>750000</v>
      </c>
      <c r="G9" s="261">
        <v>0</v>
      </c>
    </row>
    <row r="10" spans="1:7">
      <c r="A10" s="260" t="s">
        <v>266</v>
      </c>
      <c r="B10" s="255">
        <v>700000</v>
      </c>
      <c r="C10" s="255">
        <v>781413.92999999993</v>
      </c>
      <c r="D10" s="255">
        <v>700000</v>
      </c>
      <c r="E10" s="255">
        <v>781413.92999999993</v>
      </c>
      <c r="F10" s="255">
        <v>350000</v>
      </c>
      <c r="G10" s="261">
        <v>0</v>
      </c>
    </row>
    <row r="11" spans="1:7">
      <c r="A11" s="260" t="s">
        <v>269</v>
      </c>
      <c r="B11" s="255">
        <v>300000</v>
      </c>
      <c r="C11" s="255">
        <v>494878.61999999994</v>
      </c>
      <c r="D11" s="255">
        <v>300000</v>
      </c>
      <c r="E11" s="255">
        <v>494878.61999999994</v>
      </c>
      <c r="F11" s="255">
        <v>150000</v>
      </c>
      <c r="G11" s="261">
        <v>0</v>
      </c>
    </row>
    <row r="12" spans="1:7">
      <c r="A12" s="260" t="s">
        <v>260</v>
      </c>
      <c r="B12" s="255">
        <v>267000</v>
      </c>
      <c r="C12" s="255">
        <v>284714.77</v>
      </c>
      <c r="D12" s="255">
        <v>267000</v>
      </c>
      <c r="E12" s="255">
        <v>284714.77</v>
      </c>
      <c r="F12" s="255">
        <v>400000</v>
      </c>
      <c r="G12" s="261">
        <v>0</v>
      </c>
    </row>
    <row r="13" spans="1:7">
      <c r="A13" s="260" t="s">
        <v>263</v>
      </c>
      <c r="B13" s="255">
        <v>507888.1</v>
      </c>
      <c r="C13" s="255">
        <v>532404.38</v>
      </c>
      <c r="D13" s="255">
        <v>507888.1</v>
      </c>
      <c r="E13" s="255">
        <v>532404.38</v>
      </c>
      <c r="F13" s="255">
        <v>315000</v>
      </c>
      <c r="G13" s="261">
        <v>0</v>
      </c>
    </row>
    <row r="14" spans="1:7">
      <c r="A14" s="260" t="s">
        <v>264</v>
      </c>
      <c r="B14" s="255">
        <v>130000</v>
      </c>
      <c r="C14" s="255">
        <v>130000</v>
      </c>
      <c r="D14" s="255">
        <v>130000</v>
      </c>
      <c r="E14" s="255">
        <v>130000</v>
      </c>
      <c r="F14" s="255">
        <v>100000</v>
      </c>
      <c r="G14" s="261">
        <v>0</v>
      </c>
    </row>
    <row r="15" spans="1:7" ht="15" thickBot="1">
      <c r="A15" s="262" t="s">
        <v>281</v>
      </c>
      <c r="B15" s="263">
        <f t="shared" ref="B15:E15" si="0">SUM(B6:B14)</f>
        <v>2884888.1</v>
      </c>
      <c r="C15" s="263">
        <f t="shared" si="0"/>
        <v>3227397.63</v>
      </c>
      <c r="D15" s="263">
        <f t="shared" si="0"/>
        <v>2884888.1</v>
      </c>
      <c r="E15" s="263">
        <f t="shared" si="0"/>
        <v>3227397.63</v>
      </c>
      <c r="F15" s="263">
        <f>SUM(F6:F14)</f>
        <v>3420000</v>
      </c>
      <c r="G15" s="264">
        <f>SUM(G6:G14)</f>
        <v>0</v>
      </c>
    </row>
    <row r="16" spans="1:7">
      <c r="F16" s="253"/>
      <c r="G16" s="253"/>
    </row>
    <row r="17" spans="6:7">
      <c r="F17" s="253"/>
      <c r="G17" s="253"/>
    </row>
    <row r="18" spans="6:7">
      <c r="F18" s="253"/>
      <c r="G18" s="253"/>
    </row>
    <row r="19" spans="6:7">
      <c r="F19" s="253"/>
      <c r="G19" s="253"/>
    </row>
  </sheetData>
  <mergeCells count="5">
    <mergeCell ref="B5:C5"/>
    <mergeCell ref="D5:E5"/>
    <mergeCell ref="F5:G5"/>
    <mergeCell ref="A4:A5"/>
    <mergeCell ref="B1:G3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2"/>
  <sheetViews>
    <sheetView zoomScaleNormal="100" workbookViewId="0">
      <selection activeCell="B10" sqref="B10"/>
    </sheetView>
  </sheetViews>
  <sheetFormatPr defaultRowHeight="14.4"/>
  <cols>
    <col min="1" max="1" width="16.5546875" style="1" bestFit="1" customWidth="1"/>
    <col min="2" max="2" width="44.109375" style="1" customWidth="1"/>
    <col min="3" max="3" width="19.109375" style="1" bestFit="1" customWidth="1"/>
    <col min="4" max="4" width="19.109375" style="1" customWidth="1"/>
    <col min="5" max="16" width="20.5546875" customWidth="1"/>
    <col min="17" max="17" width="16" customWidth="1"/>
    <col min="19" max="19" width="16.33203125" customWidth="1"/>
  </cols>
  <sheetData>
    <row r="2" spans="1:19" ht="25.2">
      <c r="B2" s="2"/>
      <c r="C2" s="39" t="s">
        <v>28</v>
      </c>
    </row>
    <row r="4" spans="1:19" ht="15" thickBot="1"/>
    <row r="5" spans="1:19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9" ht="15" thickBot="1">
      <c r="A6" s="7"/>
      <c r="B6" s="8"/>
      <c r="C6" s="8"/>
      <c r="D6" s="2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28"/>
      <c r="Q6" s="29"/>
    </row>
    <row r="7" spans="1:19">
      <c r="A7" s="110">
        <v>113</v>
      </c>
      <c r="B7" s="111" t="s">
        <v>0</v>
      </c>
      <c r="C7" s="111" t="s">
        <v>3</v>
      </c>
      <c r="D7" s="112">
        <v>1782979.25</v>
      </c>
      <c r="E7" s="113">
        <v>0</v>
      </c>
      <c r="F7" s="114">
        <v>23600.75</v>
      </c>
      <c r="G7" s="114">
        <v>98858.32</v>
      </c>
      <c r="H7" s="114">
        <v>50748.21</v>
      </c>
      <c r="I7" s="114">
        <v>89899.5</v>
      </c>
      <c r="J7" s="114">
        <v>52708.800000000003</v>
      </c>
      <c r="K7" s="114">
        <v>260193.37</v>
      </c>
      <c r="L7" s="114">
        <v>28326.69</v>
      </c>
      <c r="M7" s="114">
        <v>491801.28</v>
      </c>
      <c r="N7" s="114">
        <v>146659.79</v>
      </c>
      <c r="O7" s="114">
        <v>324936.03999999998</v>
      </c>
      <c r="P7" s="35">
        <v>463922.63</v>
      </c>
      <c r="Q7" s="133">
        <f>D7-SUM(E7:P7)+580000</f>
        <v>331323.87000000011</v>
      </c>
    </row>
    <row r="8" spans="1:19">
      <c r="A8" s="13">
        <v>100</v>
      </c>
      <c r="B8" s="3" t="s">
        <v>5</v>
      </c>
      <c r="C8" s="3" t="s">
        <v>4</v>
      </c>
      <c r="D8" s="41">
        <f>(2420500-250000+250000+1500000)-(110955.38+79793.4+376631.66+216586.23+413067.1+255205.39)+260000</f>
        <v>2728260.84</v>
      </c>
      <c r="E8" s="23">
        <v>57150.879999999997</v>
      </c>
      <c r="F8" s="35">
        <v>425168.82</v>
      </c>
      <c r="G8" s="35">
        <v>213587.03</v>
      </c>
      <c r="H8" s="35">
        <v>129971.84</v>
      </c>
      <c r="I8" s="35">
        <v>93901.22</v>
      </c>
      <c r="J8" s="35">
        <v>414193.26</v>
      </c>
      <c r="K8" s="35">
        <v>278139.89</v>
      </c>
      <c r="L8" s="35">
        <v>891674.15</v>
      </c>
      <c r="M8" s="35">
        <v>86693.45</v>
      </c>
      <c r="N8" s="35">
        <v>10328.969999999999</v>
      </c>
      <c r="O8" s="35">
        <v>8958.6299999999992</v>
      </c>
      <c r="P8" s="35">
        <v>11468.26</v>
      </c>
      <c r="Q8" s="25">
        <f t="shared" ref="Q8:Q13" si="0">D8-SUM(E8:P8)</f>
        <v>107024.43999999994</v>
      </c>
      <c r="S8" s="47"/>
    </row>
    <row r="9" spans="1:19">
      <c r="A9" s="13">
        <v>100</v>
      </c>
      <c r="B9" s="3" t="s">
        <v>6</v>
      </c>
      <c r="C9" s="3" t="s">
        <v>4</v>
      </c>
      <c r="D9" s="41">
        <f>(1936400-355000+250000+1500000)-(111096.51+29176.59+75666.65+60280.53+339169.3+799735.02)+150000</f>
        <v>2066275.4</v>
      </c>
      <c r="E9" s="23">
        <v>154797.99</v>
      </c>
      <c r="F9" s="35">
        <v>10277.94</v>
      </c>
      <c r="G9" s="35">
        <v>44113.22</v>
      </c>
      <c r="H9" s="35">
        <v>24640.76</v>
      </c>
      <c r="I9" s="35">
        <v>17260.990000000002</v>
      </c>
      <c r="J9" s="35">
        <v>652435.93999999994</v>
      </c>
      <c r="K9" s="35">
        <v>301894.14</v>
      </c>
      <c r="L9" s="35">
        <v>268946.46000000002</v>
      </c>
      <c r="M9" s="35">
        <v>339403.84</v>
      </c>
      <c r="N9" s="35">
        <v>23372.36</v>
      </c>
      <c r="O9" s="35">
        <v>44075.95</v>
      </c>
      <c r="P9" s="35">
        <v>17286.25</v>
      </c>
      <c r="Q9" s="25">
        <f t="shared" si="0"/>
        <v>167769.55999999982</v>
      </c>
    </row>
    <row r="10" spans="1:19">
      <c r="A10" s="13">
        <v>106</v>
      </c>
      <c r="B10" s="3" t="s">
        <v>1</v>
      </c>
      <c r="C10" s="46" t="s">
        <v>120</v>
      </c>
      <c r="D10" s="41">
        <f>950000-177078.43+2427078.47-169000+850000</f>
        <v>3881000.04</v>
      </c>
      <c r="E10" s="23">
        <v>0</v>
      </c>
      <c r="F10" s="35">
        <v>184420.68</v>
      </c>
      <c r="G10" s="35">
        <v>101487.4</v>
      </c>
      <c r="H10" s="35">
        <v>351829.63</v>
      </c>
      <c r="I10" s="35">
        <v>104106.84</v>
      </c>
      <c r="J10" s="35">
        <v>72540.88</v>
      </c>
      <c r="K10" s="35">
        <v>1110240.6499999999</v>
      </c>
      <c r="L10" s="35">
        <v>791363.93</v>
      </c>
      <c r="M10" s="35">
        <v>290225.14</v>
      </c>
      <c r="N10" s="35">
        <v>23963.95</v>
      </c>
      <c r="O10" s="35">
        <v>0</v>
      </c>
      <c r="P10" s="35">
        <v>53544.92</v>
      </c>
      <c r="Q10" s="25">
        <f t="shared" si="0"/>
        <v>797276.02</v>
      </c>
    </row>
    <row r="11" spans="1:19">
      <c r="A11" s="13">
        <v>107</v>
      </c>
      <c r="B11" s="3" t="s">
        <v>19</v>
      </c>
      <c r="C11" s="3" t="s">
        <v>27</v>
      </c>
      <c r="D11" s="41">
        <f>400000+150000+1250000+400000</f>
        <v>2200000</v>
      </c>
      <c r="E11" s="34">
        <v>0</v>
      </c>
      <c r="F11" s="35">
        <v>0</v>
      </c>
      <c r="G11" s="35">
        <v>0</v>
      </c>
      <c r="H11" s="35">
        <v>120740.6</v>
      </c>
      <c r="I11" s="35">
        <v>92328.960000000006</v>
      </c>
      <c r="J11" s="35">
        <v>131879.16</v>
      </c>
      <c r="K11" s="35">
        <v>371704.81</v>
      </c>
      <c r="L11" s="35">
        <v>342213.24</v>
      </c>
      <c r="M11" s="35">
        <v>242010.51</v>
      </c>
      <c r="N11" s="35">
        <v>159994.56</v>
      </c>
      <c r="O11" s="35">
        <v>426738.13</v>
      </c>
      <c r="P11" s="35">
        <v>28013.07</v>
      </c>
      <c r="Q11" s="25">
        <f t="shared" si="0"/>
        <v>284376.95999999973</v>
      </c>
    </row>
    <row r="12" spans="1:19">
      <c r="A12" s="13">
        <v>107</v>
      </c>
      <c r="B12" s="3" t="s">
        <v>189</v>
      </c>
      <c r="C12" s="3" t="s">
        <v>27</v>
      </c>
      <c r="D12" s="41">
        <f>400000+150000+1250000-400000</f>
        <v>1400000</v>
      </c>
      <c r="E12" s="34">
        <v>0</v>
      </c>
      <c r="F12" s="35">
        <v>0</v>
      </c>
      <c r="G12" s="35">
        <v>0</v>
      </c>
      <c r="H12" s="35">
        <v>94088.51</v>
      </c>
      <c r="I12" s="35">
        <v>255201.88</v>
      </c>
      <c r="J12" s="35">
        <v>67126.52</v>
      </c>
      <c r="K12" s="35">
        <v>80082.67</v>
      </c>
      <c r="L12" s="35">
        <v>28093.53</v>
      </c>
      <c r="M12" s="35">
        <v>0</v>
      </c>
      <c r="N12" s="35">
        <v>0</v>
      </c>
      <c r="O12" s="35">
        <v>195428.81</v>
      </c>
      <c r="P12" s="35">
        <v>114867.99</v>
      </c>
      <c r="Q12" s="25">
        <f t="shared" si="0"/>
        <v>565110.09000000008</v>
      </c>
    </row>
    <row r="13" spans="1:19">
      <c r="A13" s="13">
        <v>115</v>
      </c>
      <c r="B13" s="3" t="s">
        <v>2</v>
      </c>
      <c r="C13" s="3" t="s">
        <v>3</v>
      </c>
      <c r="D13" s="41">
        <f>1300000+300000+509667.47+2500000</f>
        <v>4609667.47</v>
      </c>
      <c r="E13" s="34">
        <v>0</v>
      </c>
      <c r="F13" s="35">
        <v>0</v>
      </c>
      <c r="G13" s="35">
        <v>303720.24</v>
      </c>
      <c r="H13" s="35">
        <v>371897.9</v>
      </c>
      <c r="I13" s="35">
        <v>378401.31</v>
      </c>
      <c r="J13" s="35">
        <v>255648.02</v>
      </c>
      <c r="K13" s="35">
        <v>286694.19</v>
      </c>
      <c r="L13" s="35">
        <v>0</v>
      </c>
      <c r="M13" s="35">
        <v>0</v>
      </c>
      <c r="N13" s="35">
        <v>245158.36</v>
      </c>
      <c r="O13" s="132">
        <v>1292795.9798520003</v>
      </c>
      <c r="P13" s="35">
        <v>587076.16</v>
      </c>
      <c r="Q13" s="25">
        <f t="shared" si="0"/>
        <v>888275.31014799932</v>
      </c>
    </row>
    <row r="14" spans="1:19" ht="15" thickBot="1">
      <c r="A14" s="134">
        <v>153</v>
      </c>
      <c r="B14" s="135" t="s">
        <v>190</v>
      </c>
      <c r="C14" s="135" t="s">
        <v>191</v>
      </c>
      <c r="D14" s="136"/>
      <c r="E14" s="137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9">
        <v>0</v>
      </c>
      <c r="P14" s="35">
        <v>28028.62</v>
      </c>
      <c r="Q14" s="25">
        <f>SUM(E14:P14)</f>
        <v>28028.62</v>
      </c>
    </row>
    <row r="15" spans="1:19" ht="15" thickBot="1">
      <c r="A15" s="19"/>
      <c r="B15" s="20" t="s">
        <v>121</v>
      </c>
      <c r="C15" s="20"/>
      <c r="D15" s="44">
        <f>SUBTOTAL(9,D7:D13)</f>
        <v>18668183</v>
      </c>
      <c r="E15" s="30">
        <f t="shared" ref="E15:P15" si="1">SUBTOTAL(9,E7:E14)</f>
        <v>211948.87</v>
      </c>
      <c r="F15" s="30">
        <f t="shared" si="1"/>
        <v>643468.18999999994</v>
      </c>
      <c r="G15" s="30">
        <f t="shared" si="1"/>
        <v>761766.21</v>
      </c>
      <c r="H15" s="30">
        <f t="shared" si="1"/>
        <v>1143917.45</v>
      </c>
      <c r="I15" s="30">
        <f t="shared" si="1"/>
        <v>1031100.7</v>
      </c>
      <c r="J15" s="30">
        <f t="shared" si="1"/>
        <v>1646532.5799999998</v>
      </c>
      <c r="K15" s="30">
        <f t="shared" si="1"/>
        <v>2688949.7199999997</v>
      </c>
      <c r="L15" s="30">
        <f t="shared" si="1"/>
        <v>2350617.9999999995</v>
      </c>
      <c r="M15" s="30">
        <f t="shared" si="1"/>
        <v>1450134.22</v>
      </c>
      <c r="N15" s="30">
        <f t="shared" si="1"/>
        <v>609477.99</v>
      </c>
      <c r="O15" s="30">
        <f t="shared" si="1"/>
        <v>2292933.5398520003</v>
      </c>
      <c r="P15" s="30">
        <f t="shared" si="1"/>
        <v>1304207.9000000001</v>
      </c>
      <c r="Q15" s="75">
        <f>SUBTOTAL(9,Q7:Q13)</f>
        <v>3141156.2501479988</v>
      </c>
    </row>
    <row r="17" spans="2:15">
      <c r="B17" s="4" t="s">
        <v>22</v>
      </c>
      <c r="C17" s="68">
        <f>SUM(E15:P15)-C18</f>
        <v>16107026.749852002</v>
      </c>
    </row>
    <row r="18" spans="2:15">
      <c r="B18" s="38" t="s">
        <v>23</v>
      </c>
      <c r="C18" s="69">
        <f>P14</f>
        <v>28028.62</v>
      </c>
    </row>
    <row r="19" spans="2:15" hidden="1">
      <c r="B19" s="5" t="s">
        <v>50</v>
      </c>
      <c r="C19" s="70"/>
    </row>
    <row r="20" spans="2:15" hidden="1">
      <c r="B20" s="53" t="s">
        <v>51</v>
      </c>
      <c r="C20" s="71"/>
      <c r="J20" s="47"/>
    </row>
    <row r="22" spans="2:15">
      <c r="O22" t="s">
        <v>122</v>
      </c>
    </row>
  </sheetData>
  <autoFilter ref="A6:Q13" xr:uid="{00000000-0009-0000-0000-000002000000}"/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</vt:i4>
      </vt:variant>
    </vt:vector>
  </HeadingPairs>
  <TitlesOfParts>
    <vt:vector size="22" baseType="lpstr">
      <vt:lpstr>RESUMO-2024</vt:lpstr>
      <vt:lpstr>RESUMO-2025</vt:lpstr>
      <vt:lpstr>Recebimentos</vt:lpstr>
      <vt:lpstr>Contratos</vt:lpstr>
      <vt:lpstr>Planilha3</vt:lpstr>
      <vt:lpstr>Planilha2</vt:lpstr>
      <vt:lpstr>Planilha1</vt:lpstr>
      <vt:lpstr>Planilha1 (2)</vt:lpstr>
      <vt:lpstr>RESUMO-2022</vt:lpstr>
      <vt:lpstr>empenhos</vt:lpstr>
      <vt:lpstr>10-2022</vt:lpstr>
      <vt:lpstr>11-2022</vt:lpstr>
      <vt:lpstr>030.018</vt:lpstr>
      <vt:lpstr>030.021</vt:lpstr>
      <vt:lpstr>030.022</vt:lpstr>
      <vt:lpstr>030.023</vt:lpstr>
      <vt:lpstr>030.024</vt:lpstr>
      <vt:lpstr>120.1025</vt:lpstr>
      <vt:lpstr>'RESUMO-2024'!Area_de_impressao</vt:lpstr>
      <vt:lpstr>'RESUMO-2025'!Area_de_impressao</vt:lpstr>
      <vt:lpstr>'RESUMO-2024'!Titulos_de_impressao</vt:lpstr>
      <vt:lpstr>'RESUMO-2025'!Titulos_de_impressao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Natoniel Batista Brandão</dc:creator>
  <cp:lastModifiedBy>Raphael De Britto Lyra Leitão</cp:lastModifiedBy>
  <cp:lastPrinted>2024-11-11T17:17:20Z</cp:lastPrinted>
  <dcterms:created xsi:type="dcterms:W3CDTF">2022-03-10T10:41:36Z</dcterms:created>
  <dcterms:modified xsi:type="dcterms:W3CDTF">2025-07-10T11:35:47Z</dcterms:modified>
</cp:coreProperties>
</file>