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Medições/Acomp-de-Medicoes/"/>
    </mc:Choice>
  </mc:AlternateContent>
  <xr:revisionPtr revIDLastSave="642" documentId="13_ncr:1_{A1421A19-0108-4133-B863-EAC0C5A9202F}" xr6:coauthVersionLast="47" xr6:coauthVersionMax="47" xr10:uidLastSave="{395A55F1-A280-4CEF-979A-59ED2FE107D0}"/>
  <bookViews>
    <workbookView xWindow="-108" yWindow="-108" windowWidth="23256" windowHeight="12456" tabRatio="604" activeTab="2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'RESUMO-2024'!$A$5:$BA$37</definedName>
    <definedName name="_xlnm._FilterDatabase" localSheetId="1" hidden="1">'RESUMO-2025'!$A$5:$BC$30</definedName>
    <definedName name="_xlnm.Print_Area" localSheetId="0">'RESUMO-2024'!$A$1:$BA$32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Y28" i="11"/>
  <c r="AX28" i="11"/>
  <c r="BB25" i="17" l="1"/>
  <c r="BC17" i="17"/>
  <c r="BC15" i="17"/>
  <c r="BC12" i="17"/>
  <c r="BC11" i="17"/>
  <c r="BC10" i="17"/>
  <c r="BC8" i="17"/>
  <c r="BC6" i="17"/>
  <c r="B2" i="17"/>
  <c r="H11" i="16"/>
  <c r="AI27" i="11"/>
  <c r="BC16" i="17" l="1"/>
  <c r="BC14" i="17"/>
  <c r="BC13" i="17"/>
  <c r="BA6" i="11"/>
  <c r="BA7" i="11"/>
  <c r="BA8" i="11"/>
  <c r="BA9" i="11"/>
  <c r="BA10" i="11"/>
  <c r="BA11" i="11"/>
  <c r="BA12" i="11"/>
  <c r="BA13" i="11"/>
  <c r="BA14" i="11"/>
  <c r="BA16" i="11"/>
  <c r="BA18" i="11"/>
  <c r="BA19" i="11"/>
  <c r="BA20" i="11"/>
  <c r="BA23" i="11"/>
  <c r="BA24" i="11"/>
  <c r="BA28" i="11"/>
  <c r="BA29" i="11"/>
  <c r="BA30" i="11"/>
  <c r="BA31" i="11"/>
  <c r="AZ32" i="11"/>
  <c r="AY32" i="11"/>
  <c r="AX32" i="11"/>
  <c r="AW32" i="11"/>
  <c r="AV32" i="11"/>
  <c r="AU32" i="11"/>
  <c r="AT32" i="11"/>
  <c r="AS32" i="11"/>
  <c r="AR32" i="11"/>
  <c r="AQ32" i="11"/>
  <c r="AP32" i="11"/>
  <c r="AN32" i="11"/>
  <c r="AM32" i="11"/>
  <c r="AF32" i="11"/>
  <c r="AE32" i="11"/>
  <c r="AC32" i="11"/>
  <c r="AB32" i="11"/>
  <c r="X32" i="11"/>
  <c r="T32" i="11"/>
  <c r="S32" i="11"/>
  <c r="P32" i="11"/>
  <c r="L32" i="11"/>
  <c r="K32" i="11"/>
  <c r="J32" i="11"/>
  <c r="H32" i="11"/>
  <c r="G32" i="11"/>
  <c r="F32" i="11"/>
  <c r="BC25" i="17" l="1"/>
  <c r="AO8" i="11"/>
  <c r="AL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O32" i="11" l="1"/>
  <c r="L12" i="13" s="1"/>
  <c r="AL32" i="11"/>
  <c r="L11" i="13" s="1"/>
  <c r="AK8" i="11"/>
  <c r="AK32" i="11" s="1"/>
  <c r="B2" i="11"/>
  <c r="AD22" i="11"/>
  <c r="V22" i="11"/>
  <c r="V21" i="11"/>
  <c r="R22" i="11"/>
  <c r="Q21" i="11"/>
  <c r="R21" i="11" s="1"/>
  <c r="AD32" i="11" l="1"/>
  <c r="L9" i="13" s="1"/>
  <c r="R32" i="11"/>
  <c r="L6" i="13" s="1"/>
  <c r="O21" i="11"/>
  <c r="O32" i="11" s="1"/>
  <c r="N22" i="11"/>
  <c r="BA22" i="11" s="1"/>
  <c r="M21" i="11"/>
  <c r="AG8" i="11" l="1"/>
  <c r="AI29" i="11" l="1"/>
  <c r="AI32" i="11" s="1"/>
  <c r="AJ32" i="11"/>
  <c r="AH27" i="11"/>
  <c r="AH32" i="11" l="1"/>
  <c r="L10" i="13" s="1"/>
  <c r="BA27" i="11"/>
  <c r="AG27" i="11"/>
  <c r="AG32" i="11" s="1"/>
  <c r="AA10" i="11" l="1"/>
  <c r="AA32" i="11" s="1"/>
  <c r="Y7" i="11" l="1"/>
  <c r="Y6" i="11"/>
  <c r="Y32" i="11" l="1"/>
  <c r="V17" i="11"/>
  <c r="BA17" i="11" l="1"/>
  <c r="Z26" i="11"/>
  <c r="W15" i="11"/>
  <c r="W32" i="11" s="1"/>
  <c r="V15" i="11"/>
  <c r="BA15" i="11" s="1"/>
  <c r="Z32" i="11" l="1"/>
  <c r="L8" i="13" s="1"/>
  <c r="BA26" i="11"/>
  <c r="N21" i="11"/>
  <c r="BA21" i="11" s="1"/>
  <c r="N32" i="11" l="1"/>
  <c r="L5" i="13" s="1"/>
  <c r="V25" i="11"/>
  <c r="U25" i="11"/>
  <c r="U8" i="11"/>
  <c r="U32" i="11" l="1"/>
  <c r="BA25" i="11"/>
  <c r="BA32" i="11" s="1"/>
  <c r="V32" i="11"/>
  <c r="L7" i="13" s="1"/>
  <c r="L15" i="13" s="1"/>
  <c r="Q6" i="11"/>
  <c r="Q8" i="11" l="1"/>
  <c r="Q32" i="11" s="1"/>
  <c r="M7" i="11" l="1"/>
  <c r="M32" i="11" s="1"/>
  <c r="I6" i="11" l="1"/>
  <c r="I32" i="11" s="1"/>
  <c r="E8" i="11" l="1"/>
  <c r="E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<sst xmlns="http://schemas.openxmlformats.org/spreadsheetml/2006/main" count="1942" uniqueCount="315">
  <si>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</si>
  <si>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</si>
  <si>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</si>
  <si>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</si>
  <si>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</si>
  <si>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</si>
  <si>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</si>
  <si>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</si>
  <si>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</si>
  <si>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</si>
  <si>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</si>
  <si>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</si>
  <si>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</si>
  <si>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</si>
  <si>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</si>
  <si>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</si>
  <si>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</si>
  <si>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</si>
  <si>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</si>
  <si>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</si>
  <si>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</si>
  <si>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</si>
  <si>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</si>
  <si>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</si>
  <si>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</si>
  <si>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</si>
  <si>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</si>
  <si>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</si>
  <si>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</si>
  <si>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</si>
  <si>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</si>
  <si>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</si>
  <si>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</si>
  <si>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</si>
  <si>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</si>
  <si>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</si>
  <si>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</si>
  <si>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</si>
  <si>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</si>
  <si>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</si>
  <si>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</si>
  <si>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</si>
  <si>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</si>
  <si>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</si>
  <si>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</si>
  <si>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</si>
  <si>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</si>
  <si>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</si>
  <si>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</si>
  <si>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</si>
  <si>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</si>
  <si>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</si>
  <si>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</si>
  <si>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</si>
  <si>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</si>
  <si>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</si>
  <si>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</si>
  <si>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</si>
  <si>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</si>
  <si>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</si>
  <si>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</si>
  <si>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</si>
  <si>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</si>
  <si>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</si>
  <si>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</si>
  <si>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</si>
  <si>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</si>
  <si>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</si>
  <si>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</si>
  <si>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</si>
  <si>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</si>
  <si>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</si>
  <si>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</si>
  <si>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</si>
  <si>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</si>
  <si>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</si>
  <si>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</si>
  <si>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</si>
  <si>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</si>
  <si>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</si>
  <si>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</si>
  <si>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</si>
  <si>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</si>
  <si>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</si>
  <si>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</si>
  <si>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</si>
  <si>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</si>
  <si>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</si>
  <si>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</si>
  <si>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</si>
  <si>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</si>
  <si>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</si>
  <si>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</si>
  <si>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</si>
  <si>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</si>
  <si>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</si>
  <si>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</si>
  <si>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</si>
  <si>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</si>
  <si>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</si>
  <si>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</si>
  <si>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</si>
  <si>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</si>
  <si>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</si>
  <si>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</si>
  <si>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</si>
  <si>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</si>
  <si>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</si>
  <si>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</si>
  <si>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</si>
  <si>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</si>
  <si>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</si>
  <si>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</si>
  <si>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</si>
  <si>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</si>
  <si>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</si>
  <si>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</si>
  <si>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</si>
  <si>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</si>
  <si>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</si>
  <si>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</si>
  <si>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</si>
  <si>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</si>
  <si>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</si>
  <si>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</si>
  <si>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</si>
  <si>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</si>
  <si>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</si>
  <si>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</si>
  <si>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</si>
  <si>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</si>
  <si>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</si>
  <si>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</si>
  <si>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</si>
  <si>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</si>
  <si>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</si>
  <si>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</si>
  <si>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</si>
  <si>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</si>
  <si>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</si>
  <si>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</si>
  <si>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</si>
  <si>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</si>
  <si>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</si>
  <si>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</si>
  <si>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</si>
  <si>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</si>
  <si>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</si>
  <si>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</si>
  <si>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</si>
  <si>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</si>
  <si>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</si>
  <si>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</si>
  <si>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</si>
  <si>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</si>
  <si>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</si>
  <si>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</si>
  <si>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</si>
  <si>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</si>
  <si>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</si>
  <si>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</si>
  <si>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</si>
  <si>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</si>
  <si>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</si>
  <si>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</si>
  <si>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</si>
  <si>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</si>
  <si>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</si>
  <si>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</si>
  <si>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</si>
  <si>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</si>
  <si>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</si>
  <si>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</si>
  <si>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</si>
  <si>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</si>
  <si>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</si>
  <si>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</si>
  <si>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</si>
  <si>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</si>
  <si>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</si>
  <si>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</si>
  <si>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</si>
  <si>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</si>
  <si>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</si>
  <si>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</si>
  <si>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</si>
  <si>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</si>
  <si>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</si>
  <si>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</si>
  <si>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</si>
  <si>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</si>
  <si>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</si>
  <si>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</si>
  <si>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</si>
  <si>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</si>
  <si>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</si>
  <si>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</si>
  <si>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</si>
  <si>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</si>
  <si>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</si>
  <si>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</si>
  <si>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</si>
  <si>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</si>
  <si>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</si>
  <si>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</si>
  <si>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</si>
  <si>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</si>
  <si>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</si>
  <si>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</si>
  <si>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</si>
  <si>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</si>
  <si>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</si>
  <si>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</si>
  <si>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</si>
  <si>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</si>
  <si>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</si>
  <si>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</si>
  <si>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</si>
  <si>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</si>
  <si>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</si>
  <si>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</si>
  <si>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</si>
  <si>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</si>
  <si>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</si>
  <si>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</si>
  <si>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</si>
  <si>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</si>
  <si>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</si>
  <si>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</si>
  <si>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</si>
  <si>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</si>
  <si>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</si>
  <si>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</si>
  <si>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</si>
  <si>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</si>
  <si>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</si>
  <si>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</si>
  <si>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</si>
  <si>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</si>
  <si>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</si>
  <si>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</si>
  <si>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</si>
  <si>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</si>
  <si>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</si>
  <si>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</si>
  <si>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</si>
  <si>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</si>
  <si>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</si>
  <si>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</si>
  <si>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</si>
  <si>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</si>
  <si>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</si>
  <si>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</si>
  <si>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</si>
  <si>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</si>
  <si>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</si>
  <si>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</si>
  <si>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</si>
  <si>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</si>
  <si>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</si>
  <si>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</si>
  <si>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</si>
  <si>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</si>
  <si>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</si>
  <si>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</si>
  <si>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</si>
  <si>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</si>
  <si>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</si>
  <si>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</si>
  <si>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</si>
  <si>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</si>
  <si>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</si>
  <si>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</si>
  <si>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</si>
  <si>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</si>
  <si>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</si>
  <si>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</si>
  <si>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</si>
  <si>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</si>
  <si>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</si>
  <si>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</si>
  <si>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</si>
  <si>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</si>
  <si>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</si>
  <si>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</si>
  <si>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</si>
  <si>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</si>
  <si>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</si>
  <si>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</si>
  <si>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</si>
  <si>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</si>
  <si>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</si>
  <si>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</si>
  <si>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</si>
  <si>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</si>
  <si>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</si>
  <si>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</si>
  <si>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</si>
  <si>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</si>
  <si>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</si>
  <si>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</si>
  <si>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</si>
  <si>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</si>
  <si>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</si>
  <si>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</si>
  <si>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</si>
  <si>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</si>
  <si>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</si>
  <si>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</si>
  <si>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</si>
  <si>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</si>
  <si>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PERÍODO</t>
  </si>
  <si>
    <t>CENTRO DE CUSTO</t>
  </si>
  <si>
    <t xml:space="preserve"> BR 232 Perkos S.A</t>
  </si>
  <si>
    <t>VALOR_CONTRATO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</si>
</sst>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1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2" xfId="0" applyFont="1" applyFill="1" applyBorder="1" applyAlignment="1">
      <alignment horizontal="center" vertical="center" wrapText="1"/>
    </xf>
    <xf numFmtId="0" fontId="23" fillId="6" borderId="92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4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98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99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27" fillId="0" borderId="0" xfId="1" applyFont="1" applyFill="1" applyBorder="1" applyAlignment="1">
      <alignment horizontal="center" vertical="center" wrapText="1"/>
    </xf>
    <xf numFmtId="44" fontId="127" fillId="0" borderId="0" xfId="1" applyFont="1" applyFill="1" applyAlignment="1">
      <alignment horizontal="center" vertical="center" wrapText="1"/>
    </xf>
    <xf numFmtId="0" fontId="127" fillId="5" borderId="0" xfId="0" applyFont="1" applyFill="1" applyAlignment="1">
      <alignment horizontal="center" vertical="center" wrapText="1"/>
    </xf>
    <xf numFmtId="14" fontId="127" fillId="5" borderId="0" xfId="0" applyNumberFormat="1" applyFont="1" applyFill="1" applyAlignment="1">
      <alignment horizontal="center" vertical="center" wrapText="1"/>
    </xf>
    <xf numFmtId="44" fontId="127" fillId="5" borderId="0" xfId="1" applyFont="1" applyFill="1" applyAlignment="1">
      <alignment horizontal="center" vertical="center" wrapText="1"/>
    </xf>
    <xf numFmtId="44" fontId="118" fillId="85" borderId="39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69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89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3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97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89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5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6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288" totalsRowShown="0" headerRowDxfId="14">
  <autoFilter ref="A1:G288" xr:uid="{7C6985BB-829B-4487-B9C4-A57F3DBFCE52}"/>
  <tableColumns count="7">
    <tableColumn id="1" xr3:uid="{E36FFB85-93AD-4CA4-8EE3-C83046716BD5}" name="CENTRO DE CUSTO" dataDxfId="13"/>
    <tableColumn id="2" xr3:uid="{EE155F74-EE85-4003-8CC0-8828B59CB009}" name="OBRA" dataDxfId="12"/>
    <tableColumn id="3" xr3:uid="{AD1C0EB9-EDF1-41BA-95A2-6CEDDEFDA0B1}" name="REGIONAL" dataDxfId="11"/>
    <tableColumn id="4" xr3:uid="{137B4141-D6C0-4524-8DD9-15AF8A100DE0}" name="GESTÃO" dataDxfId="10"/>
    <tableColumn id="5" xr3:uid="{F0AA69CE-E4E5-410F-A288-94155D102C45}" name="PERÍODO" dataDxfId="9"/>
    <tableColumn id="6" xr3:uid="{52101215-2D16-4AC4-8DEC-9E4CB8AFD47E}" name="PREVISTO" dataDxfId="8" dataCellStyle="Moeda"/>
    <tableColumn id="7" xr3:uid="{6EE4A63E-937D-4C09-AC77-6010BC27DEC1}" name="FATURAD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3B0A4-99E2-4F5D-97F9-07054408EF6C}" name="Tabela2" displayName="Tabela2" ref="A1:E19" totalsRowShown="0" headerRowDxfId="6" dataDxfId="5">
  <autoFilter ref="A1:E19" xr:uid="{0CA3B0A4-99E2-4F5D-97F9-07054408EF6C}"/>
  <tableColumns count="5">
    <tableColumn id="1" xr3:uid="{A9FB0DDE-86C9-4DE5-BCE7-7068B0F9A0E3}" name="CENTRO DE CUSTO" dataDxfId="4"/>
    <tableColumn id="2" xr3:uid="{18FEC781-0CBA-4485-B436-CF3DD1897334}" name="OBRA" dataDxfId="3"/>
    <tableColumn id="3" xr3:uid="{09ECD326-6BF0-4A53-9CFA-F8F67C3531B2}" name="REGIONAL" dataDxfId="2"/>
    <tableColumn id="4" xr3:uid="{6503D237-BDDA-4BA2-9FA5-FA79F37D0B10}" name="GESTÃO" dataDxfId="1"/>
    <tableColumn id="5" xr3:uid="{EB6CADE4-C65F-467F-A071-A7B89E6C3B07}" name="VALOR_CONTRA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38"/>
  <sheetViews>
    <sheetView view="pageBreakPreview" zoomScale="85" zoomScaleNormal="85" zoomScaleSheetLayoutView="85" zoomScalePageLayoutView="55" workbookViewId="0">
      <pane xSplit="4" ySplit="5" topLeftCell="AW13" activePane="bottomRight" state="frozen"/>
      <selection pane="topRight" activeCell="H1" sqref="H1"/>
      <selection pane="bottomLeft" activeCell="A6" sqref="A6"/>
      <selection pane="bottomRight" activeCell="AW24" sqref="AW24:AX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4" width="18" style="1" customWidth="1"/>
    <col min="5" max="5" width="20.5546875" style="2" customWidth="1"/>
    <col min="6" max="7" width="18.6640625" style="2" customWidth="1"/>
    <col min="8" max="8" width="20" style="2" customWidth="1"/>
    <col min="9" max="9" width="19.5546875" style="51" customWidth="1"/>
    <col min="10" max="20" width="18.6640625" style="51" customWidth="1"/>
    <col min="21" max="21" width="19.6640625" style="51" customWidth="1"/>
    <col min="22" max="22" width="20.88671875" style="51" customWidth="1"/>
    <col min="23" max="23" width="21.44140625" style="51" customWidth="1"/>
    <col min="24" max="24" width="20.6640625" style="51" customWidth="1"/>
    <col min="25" max="25" width="21" style="51" customWidth="1"/>
    <col min="26" max="26" width="19.6640625" style="51" customWidth="1"/>
    <col min="27" max="27" width="21.44140625" style="51" customWidth="1"/>
    <col min="28" max="28" width="20.44140625" style="51" customWidth="1"/>
    <col min="29" max="29" width="20.5546875" style="51" customWidth="1"/>
    <col min="30" max="30" width="20.44140625" style="51" customWidth="1"/>
    <col min="31" max="31" width="20.33203125" style="51" customWidth="1"/>
    <col min="32" max="32" width="22.33203125" style="51" customWidth="1"/>
    <col min="33" max="33" width="21.6640625" style="51" customWidth="1"/>
    <col min="34" max="36" width="18.6640625" style="51" customWidth="1"/>
    <col min="37" max="37" width="21" style="51" customWidth="1"/>
    <col min="38" max="40" width="18.6640625" style="51" customWidth="1"/>
    <col min="41" max="41" width="18.88671875" style="51" customWidth="1"/>
    <col min="42" max="42" width="20" style="51" customWidth="1"/>
    <col min="43" max="44" width="18.6640625" style="51" customWidth="1"/>
    <col min="45" max="45" width="20" style="51" customWidth="1"/>
    <col min="46" max="46" width="23.44140625" style="51" customWidth="1"/>
    <col min="47" max="48" width="18.6640625" style="51" customWidth="1"/>
    <col min="49" max="49" width="20.33203125" style="51" customWidth="1"/>
    <col min="50" max="50" width="20.88671875" style="51" customWidth="1"/>
    <col min="51" max="51" width="21" style="51" customWidth="1"/>
    <col min="52" max="52" width="18.6640625" style="51" customWidth="1"/>
    <col min="53" max="53" width="21.33203125" style="1" customWidth="1"/>
    <col min="54" max="54" width="19.44140625" style="51" customWidth="1"/>
    <col min="55" max="16384" width="9.109375" style="51"/>
  </cols>
  <sheetData>
    <row r="1" spans="1:53" ht="30" customHeight="1" thickBot="1">
      <c r="A1" s="151"/>
      <c r="B1" s="232" t="s">
        <v>269</v>
      </c>
      <c r="C1" s="157"/>
      <c r="D1" s="157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1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</row>
    <row r="2" spans="1:53" ht="18.600000000000001">
      <c r="A2" s="151"/>
      <c r="B2" s="233">
        <f ca="1">TODAY()</f>
        <v>45876</v>
      </c>
      <c r="E2" s="158"/>
      <c r="F2" s="158"/>
      <c r="G2" s="158"/>
      <c r="H2" s="156"/>
      <c r="I2" s="158"/>
      <c r="J2" s="156"/>
      <c r="K2" s="156"/>
      <c r="L2" s="156"/>
      <c r="O2" s="150"/>
      <c r="P2" s="150"/>
      <c r="Q2" s="150"/>
      <c r="AB2" s="201"/>
      <c r="AC2" s="201"/>
    </row>
    <row r="3" spans="1:53" ht="18.600000000000001" thickBot="1">
      <c r="A3" s="151"/>
      <c r="E3" s="159"/>
      <c r="F3" s="159"/>
      <c r="G3" s="159"/>
      <c r="H3" s="173"/>
      <c r="I3" s="159"/>
      <c r="J3" s="156"/>
      <c r="K3" s="156"/>
      <c r="L3" s="156"/>
      <c r="O3" s="154"/>
      <c r="P3" s="154"/>
      <c r="Q3" s="154"/>
      <c r="AB3" s="201"/>
      <c r="AC3" s="201"/>
    </row>
    <row r="4" spans="1:53" ht="18.75" customHeight="1" thickBot="1">
      <c r="A4" s="313" t="s">
        <v>24</v>
      </c>
      <c r="B4" s="315" t="s">
        <v>234</v>
      </c>
      <c r="C4" s="315" t="s">
        <v>235</v>
      </c>
      <c r="D4" s="317" t="s">
        <v>236</v>
      </c>
      <c r="E4" s="309" t="s">
        <v>250</v>
      </c>
      <c r="F4" s="306"/>
      <c r="G4" s="306"/>
      <c r="H4" s="307"/>
      <c r="I4" s="306" t="s">
        <v>249</v>
      </c>
      <c r="J4" s="306"/>
      <c r="K4" s="306"/>
      <c r="L4" s="306"/>
      <c r="M4" s="309" t="s">
        <v>251</v>
      </c>
      <c r="N4" s="306"/>
      <c r="O4" s="306"/>
      <c r="P4" s="307"/>
      <c r="Q4" s="309" t="s">
        <v>256</v>
      </c>
      <c r="R4" s="306"/>
      <c r="S4" s="306"/>
      <c r="T4" s="307"/>
      <c r="U4" s="306" t="s">
        <v>257</v>
      </c>
      <c r="V4" s="306"/>
      <c r="W4" s="306"/>
      <c r="X4" s="306"/>
      <c r="Y4" s="309" t="s">
        <v>258</v>
      </c>
      <c r="Z4" s="306"/>
      <c r="AA4" s="306"/>
      <c r="AB4" s="307"/>
      <c r="AC4" s="309" t="s">
        <v>260</v>
      </c>
      <c r="AD4" s="306"/>
      <c r="AE4" s="306"/>
      <c r="AF4" s="307"/>
      <c r="AG4" s="309" t="s">
        <v>261</v>
      </c>
      <c r="AH4" s="306"/>
      <c r="AI4" s="306"/>
      <c r="AJ4" s="307"/>
      <c r="AK4" s="309" t="s">
        <v>237</v>
      </c>
      <c r="AL4" s="306"/>
      <c r="AM4" s="306"/>
      <c r="AN4" s="307"/>
      <c r="AO4" s="306" t="s">
        <v>238</v>
      </c>
      <c r="AP4" s="306"/>
      <c r="AQ4" s="306"/>
      <c r="AR4" s="307"/>
      <c r="AS4" s="309" t="s">
        <v>239</v>
      </c>
      <c r="AT4" s="306"/>
      <c r="AU4" s="306"/>
      <c r="AV4" s="307"/>
      <c r="AW4" s="309" t="s">
        <v>240</v>
      </c>
      <c r="AX4" s="306"/>
      <c r="AY4" s="306"/>
      <c r="AZ4" s="307"/>
      <c r="BA4" s="220" t="s">
        <v>267</v>
      </c>
    </row>
    <row r="5" spans="1:53" s="145" customFormat="1" ht="37.5" customHeight="1" thickBot="1">
      <c r="A5" s="314"/>
      <c r="B5" s="316"/>
      <c r="C5" s="316"/>
      <c r="D5" s="318"/>
      <c r="E5" s="172" t="s">
        <v>246</v>
      </c>
      <c r="F5" s="172" t="s">
        <v>245</v>
      </c>
      <c r="G5" s="174" t="s">
        <v>244</v>
      </c>
      <c r="H5" s="174" t="s">
        <v>247</v>
      </c>
      <c r="I5" s="212" t="s">
        <v>246</v>
      </c>
      <c r="J5" s="172" t="s">
        <v>245</v>
      </c>
      <c r="K5" s="174" t="s">
        <v>244</v>
      </c>
      <c r="L5" s="205" t="s">
        <v>247</v>
      </c>
      <c r="M5" s="172" t="s">
        <v>246</v>
      </c>
      <c r="N5" s="172" t="s">
        <v>245</v>
      </c>
      <c r="O5" s="174" t="s">
        <v>244</v>
      </c>
      <c r="P5" s="174" t="s">
        <v>247</v>
      </c>
      <c r="Q5" s="149" t="s">
        <v>241</v>
      </c>
      <c r="R5" s="149" t="s">
        <v>242</v>
      </c>
      <c r="S5" s="174" t="s">
        <v>244</v>
      </c>
      <c r="T5" s="174" t="s">
        <v>247</v>
      </c>
      <c r="U5" s="165" t="s">
        <v>241</v>
      </c>
      <c r="V5" s="149" t="s">
        <v>242</v>
      </c>
      <c r="W5" s="174" t="s">
        <v>244</v>
      </c>
      <c r="X5" s="205" t="s">
        <v>247</v>
      </c>
      <c r="Y5" s="149" t="s">
        <v>241</v>
      </c>
      <c r="Z5" s="149" t="s">
        <v>242</v>
      </c>
      <c r="AA5" s="174" t="s">
        <v>244</v>
      </c>
      <c r="AB5" s="174" t="s">
        <v>247</v>
      </c>
      <c r="AC5" s="148" t="s">
        <v>241</v>
      </c>
      <c r="AD5" s="155" t="s">
        <v>242</v>
      </c>
      <c r="AE5" s="174" t="s">
        <v>244</v>
      </c>
      <c r="AF5" s="174" t="s">
        <v>247</v>
      </c>
      <c r="AG5" s="148" t="s">
        <v>241</v>
      </c>
      <c r="AH5" s="155" t="s">
        <v>242</v>
      </c>
      <c r="AI5" s="174" t="s">
        <v>244</v>
      </c>
      <c r="AJ5" s="174" t="s">
        <v>247</v>
      </c>
      <c r="AK5" s="148" t="s">
        <v>241</v>
      </c>
      <c r="AL5" s="155" t="s">
        <v>242</v>
      </c>
      <c r="AM5" s="174" t="s">
        <v>244</v>
      </c>
      <c r="AN5" s="174" t="s">
        <v>247</v>
      </c>
      <c r="AO5" s="155" t="s">
        <v>241</v>
      </c>
      <c r="AP5" s="155" t="s">
        <v>242</v>
      </c>
      <c r="AQ5" s="174" t="s">
        <v>244</v>
      </c>
      <c r="AR5" s="174" t="s">
        <v>247</v>
      </c>
      <c r="AS5" s="148" t="s">
        <v>241</v>
      </c>
      <c r="AT5" s="155" t="s">
        <v>242</v>
      </c>
      <c r="AU5" s="174" t="s">
        <v>244</v>
      </c>
      <c r="AV5" s="174" t="s">
        <v>247</v>
      </c>
      <c r="AW5" s="148" t="s">
        <v>241</v>
      </c>
      <c r="AX5" s="155" t="s">
        <v>242</v>
      </c>
      <c r="AY5" s="174" t="s">
        <v>244</v>
      </c>
      <c r="AZ5" s="174" t="s">
        <v>247</v>
      </c>
      <c r="BA5" s="144" t="s">
        <v>243</v>
      </c>
    </row>
    <row r="6" spans="1:53" s="146" customFormat="1" ht="23.4" customHeight="1">
      <c r="A6" s="166">
        <v>100</v>
      </c>
      <c r="B6" s="225" t="s">
        <v>211</v>
      </c>
      <c r="C6" s="227" t="s">
        <v>213</v>
      </c>
      <c r="D6" s="221" t="s">
        <v>201</v>
      </c>
      <c r="E6" s="234">
        <v>150000</v>
      </c>
      <c r="F6" s="162">
        <v>550020.31000000006</v>
      </c>
      <c r="G6" s="175">
        <v>484223.91192999994</v>
      </c>
      <c r="H6" s="213">
        <v>0</v>
      </c>
      <c r="I6" s="234">
        <f>750000/2</f>
        <v>375000</v>
      </c>
      <c r="J6" s="162">
        <v>480883.99000000005</v>
      </c>
      <c r="K6" s="183">
        <v>424286.89</v>
      </c>
      <c r="L6" s="216">
        <v>0</v>
      </c>
      <c r="M6" s="206">
        <v>175000</v>
      </c>
      <c r="N6" s="162">
        <v>238188.37</v>
      </c>
      <c r="O6" s="183">
        <v>210061.27510999999</v>
      </c>
      <c r="P6" s="217">
        <v>0</v>
      </c>
      <c r="Q6" s="207">
        <f>230000/2</f>
        <v>115000</v>
      </c>
      <c r="R6" s="163">
        <v>238188.37</v>
      </c>
      <c r="S6" s="180">
        <v>210061.27510999999</v>
      </c>
      <c r="T6" s="204">
        <v>0</v>
      </c>
      <c r="U6" s="206">
        <v>200000</v>
      </c>
      <c r="V6" s="162">
        <v>354455.87</v>
      </c>
      <c r="W6" s="183">
        <v>307490.46722500003</v>
      </c>
      <c r="X6" s="217">
        <v>0</v>
      </c>
      <c r="Y6" s="206">
        <f>138000/2</f>
        <v>69000</v>
      </c>
      <c r="Z6" s="162">
        <v>66846.62</v>
      </c>
      <c r="AA6" s="183">
        <v>59010.72505999999</v>
      </c>
      <c r="AB6" s="217">
        <v>0</v>
      </c>
      <c r="AC6" s="308" t="s">
        <v>233</v>
      </c>
      <c r="AD6" s="304"/>
      <c r="AE6" s="304" t="s">
        <v>233</v>
      </c>
      <c r="AF6" s="305"/>
      <c r="AG6" s="308" t="s">
        <v>233</v>
      </c>
      <c r="AH6" s="304"/>
      <c r="AI6" s="304" t="s">
        <v>233</v>
      </c>
      <c r="AJ6" s="305"/>
      <c r="AK6" s="308" t="s">
        <v>233</v>
      </c>
      <c r="AL6" s="304"/>
      <c r="AM6" s="304" t="s">
        <v>233</v>
      </c>
      <c r="AN6" s="305"/>
      <c r="AO6" s="308" t="s">
        <v>233</v>
      </c>
      <c r="AP6" s="304"/>
      <c r="AQ6" s="304" t="s">
        <v>233</v>
      </c>
      <c r="AR6" s="305"/>
      <c r="AS6" s="308" t="s">
        <v>233</v>
      </c>
      <c r="AT6" s="304"/>
      <c r="AU6" s="304" t="s">
        <v>233</v>
      </c>
      <c r="AV6" s="305"/>
      <c r="AW6" s="308" t="s">
        <v>233</v>
      </c>
      <c r="AX6" s="304"/>
      <c r="AY6" s="304" t="s">
        <v>233</v>
      </c>
      <c r="AZ6" s="305"/>
      <c r="BA6" s="256">
        <f>AX6+AT6+AP6+AL6+AH6+AD6+Z6+V6+R6+N6+J6+F6</f>
        <v>1928583.53</v>
      </c>
    </row>
    <row r="7" spans="1:53" s="146" customFormat="1" ht="23.4" customHeight="1">
      <c r="A7" s="167">
        <v>100</v>
      </c>
      <c r="B7" s="226" t="s">
        <v>212</v>
      </c>
      <c r="C7" s="228" t="s">
        <v>213</v>
      </c>
      <c r="D7" s="222" t="s">
        <v>201</v>
      </c>
      <c r="E7" s="218">
        <v>100000</v>
      </c>
      <c r="F7" s="163">
        <v>107925.48</v>
      </c>
      <c r="G7" s="176">
        <v>95294.250739999989</v>
      </c>
      <c r="H7" s="214">
        <v>0</v>
      </c>
      <c r="I7" s="218">
        <v>500000</v>
      </c>
      <c r="J7" s="163">
        <v>585057.76</v>
      </c>
      <c r="K7" s="180">
        <v>516606.00208000001</v>
      </c>
      <c r="L7" s="204">
        <v>0</v>
      </c>
      <c r="M7" s="207">
        <f>650000/2</f>
        <v>325000</v>
      </c>
      <c r="N7" s="163">
        <v>356934.97</v>
      </c>
      <c r="O7" s="180">
        <v>315093.50325999997</v>
      </c>
      <c r="P7" s="209">
        <v>0</v>
      </c>
      <c r="Q7" s="207">
        <v>50000</v>
      </c>
      <c r="R7" s="163">
        <v>145931.41999999998</v>
      </c>
      <c r="S7" s="180">
        <v>128836.63886000001</v>
      </c>
      <c r="T7" s="204">
        <v>0</v>
      </c>
      <c r="U7" s="207">
        <v>45000</v>
      </c>
      <c r="V7" s="163">
        <v>91801.39</v>
      </c>
      <c r="W7" s="180">
        <v>80955.701769999985</v>
      </c>
      <c r="X7" s="209">
        <v>0</v>
      </c>
      <c r="Y7" s="207">
        <f>460000/2</f>
        <v>230000</v>
      </c>
      <c r="Z7" s="163">
        <v>225588.27</v>
      </c>
      <c r="AA7" s="180">
        <v>199145.13050999999</v>
      </c>
      <c r="AB7" s="209">
        <v>0</v>
      </c>
      <c r="AC7" s="297" t="s">
        <v>233</v>
      </c>
      <c r="AD7" s="295"/>
      <c r="AE7" s="295" t="s">
        <v>233</v>
      </c>
      <c r="AF7" s="296"/>
      <c r="AG7" s="297" t="s">
        <v>233</v>
      </c>
      <c r="AH7" s="295"/>
      <c r="AI7" s="295" t="s">
        <v>233</v>
      </c>
      <c r="AJ7" s="296"/>
      <c r="AK7" s="297" t="s">
        <v>233</v>
      </c>
      <c r="AL7" s="295"/>
      <c r="AM7" s="295" t="s">
        <v>233</v>
      </c>
      <c r="AN7" s="296"/>
      <c r="AO7" s="297" t="s">
        <v>233</v>
      </c>
      <c r="AP7" s="295"/>
      <c r="AQ7" s="295" t="s">
        <v>233</v>
      </c>
      <c r="AR7" s="296"/>
      <c r="AS7" s="297" t="s">
        <v>233</v>
      </c>
      <c r="AT7" s="295"/>
      <c r="AU7" s="295" t="s">
        <v>233</v>
      </c>
      <c r="AV7" s="296"/>
      <c r="AW7" s="297" t="s">
        <v>233</v>
      </c>
      <c r="AX7" s="295"/>
      <c r="AY7" s="295" t="s">
        <v>233</v>
      </c>
      <c r="AZ7" s="296"/>
      <c r="BA7" s="257">
        <f t="shared" ref="BA7:BA31" si="0">AX7+AT7+AP7+AL7+AH7+AD7+Z7+V7+R7+N7+J7+F7</f>
        <v>1513239.29</v>
      </c>
    </row>
    <row r="8" spans="1:53" s="146" customFormat="1" ht="23.4" customHeight="1">
      <c r="A8" s="167">
        <v>106</v>
      </c>
      <c r="B8" s="226" t="s">
        <v>210</v>
      </c>
      <c r="C8" s="228" t="s">
        <v>214</v>
      </c>
      <c r="D8" s="223" t="s">
        <v>202</v>
      </c>
      <c r="E8" s="218">
        <f>1055976.36/2</f>
        <v>527988.18000000005</v>
      </c>
      <c r="F8" s="163">
        <v>558590.54</v>
      </c>
      <c r="G8" s="176">
        <v>480210.00016999996</v>
      </c>
      <c r="H8" s="214">
        <v>0</v>
      </c>
      <c r="I8" s="218">
        <v>45821.279999999999</v>
      </c>
      <c r="J8" s="163">
        <v>60261.864099999992</v>
      </c>
      <c r="K8" s="180">
        <v>51489.774577299992</v>
      </c>
      <c r="L8" s="204">
        <v>0</v>
      </c>
      <c r="M8" s="207">
        <v>900000</v>
      </c>
      <c r="N8" s="163">
        <v>947012.1</v>
      </c>
      <c r="O8" s="180">
        <v>825381.38705000014</v>
      </c>
      <c r="P8" s="209">
        <v>0</v>
      </c>
      <c r="Q8" s="207">
        <f>862000/2</f>
        <v>431000</v>
      </c>
      <c r="R8" s="163">
        <v>540628.35999999987</v>
      </c>
      <c r="S8" s="180">
        <v>470784.11607999995</v>
      </c>
      <c r="T8" s="204">
        <v>0</v>
      </c>
      <c r="U8" s="207">
        <f>696804/2</f>
        <v>348402</v>
      </c>
      <c r="V8" s="163">
        <v>396477.70000000007</v>
      </c>
      <c r="W8" s="180">
        <v>340825.10310000001</v>
      </c>
      <c r="X8" s="209">
        <v>0</v>
      </c>
      <c r="Y8" s="207">
        <v>1650000</v>
      </c>
      <c r="Z8" s="163">
        <v>1396819.4600000002</v>
      </c>
      <c r="AA8" s="180">
        <v>1202830.6323800001</v>
      </c>
      <c r="AB8" s="209">
        <v>0</v>
      </c>
      <c r="AC8" s="207">
        <v>1200000</v>
      </c>
      <c r="AD8" s="163">
        <v>1250535.1300000001</v>
      </c>
      <c r="AE8" s="180">
        <v>1071288.5923900001</v>
      </c>
      <c r="AF8" s="209">
        <v>0</v>
      </c>
      <c r="AG8" s="207">
        <f>550000/2</f>
        <v>275000</v>
      </c>
      <c r="AH8" s="160">
        <v>283123.64</v>
      </c>
      <c r="AI8" s="209">
        <v>245602.62487</v>
      </c>
      <c r="AJ8" s="209">
        <v>0</v>
      </c>
      <c r="AK8" s="207">
        <f>665000/2</f>
        <v>332500</v>
      </c>
      <c r="AL8" s="207">
        <v>338155.49599999998</v>
      </c>
      <c r="AM8" s="180">
        <v>0</v>
      </c>
      <c r="AN8" s="209">
        <v>290590.13288799999</v>
      </c>
      <c r="AO8" s="207">
        <f>323000/2</f>
        <v>161500</v>
      </c>
      <c r="AP8" s="160">
        <v>168806.47999999998</v>
      </c>
      <c r="AQ8" s="211">
        <v>146550.46143999998</v>
      </c>
      <c r="AR8" s="211">
        <v>0</v>
      </c>
      <c r="AS8" s="207">
        <v>350000</v>
      </c>
      <c r="AT8" s="160">
        <v>416886.8</v>
      </c>
      <c r="AU8" s="209">
        <v>361515.78039999999</v>
      </c>
      <c r="AV8" s="209">
        <v>0</v>
      </c>
      <c r="AW8" s="207">
        <v>43862.36</v>
      </c>
      <c r="AX8" s="207">
        <v>42973.069999999992</v>
      </c>
      <c r="AY8" s="209">
        <v>36779.17220999999</v>
      </c>
      <c r="AZ8" s="209">
        <v>0</v>
      </c>
      <c r="BA8" s="257">
        <f t="shared" si="0"/>
        <v>6400270.6400999995</v>
      </c>
    </row>
    <row r="9" spans="1:53" s="146" customFormat="1" ht="23.4" customHeight="1">
      <c r="A9" s="167">
        <v>143</v>
      </c>
      <c r="B9" s="226" t="s">
        <v>207</v>
      </c>
      <c r="C9" s="228" t="s">
        <v>219</v>
      </c>
      <c r="D9" s="222" t="s">
        <v>205</v>
      </c>
      <c r="E9" s="218">
        <v>0</v>
      </c>
      <c r="F9" s="163">
        <v>0</v>
      </c>
      <c r="G9" s="176">
        <v>0</v>
      </c>
      <c r="H9" s="214">
        <v>0</v>
      </c>
      <c r="I9" s="218">
        <v>137879.14000000001</v>
      </c>
      <c r="J9" s="163">
        <v>0</v>
      </c>
      <c r="K9" s="180"/>
      <c r="L9" s="204">
        <v>0</v>
      </c>
      <c r="M9" s="207">
        <v>137879.14000000001</v>
      </c>
      <c r="N9" s="163">
        <v>0</v>
      </c>
      <c r="O9" s="180">
        <v>0</v>
      </c>
      <c r="P9" s="209">
        <v>0</v>
      </c>
      <c r="Q9" s="207">
        <v>0</v>
      </c>
      <c r="R9" s="163">
        <v>0</v>
      </c>
      <c r="S9" s="179">
        <v>0</v>
      </c>
      <c r="T9" s="204">
        <v>0</v>
      </c>
      <c r="U9" s="207">
        <v>0</v>
      </c>
      <c r="V9" s="163">
        <v>0</v>
      </c>
      <c r="W9" s="180">
        <v>0</v>
      </c>
      <c r="X9" s="209">
        <v>0</v>
      </c>
      <c r="Y9" s="207">
        <v>0</v>
      </c>
      <c r="Z9" s="163">
        <v>0</v>
      </c>
      <c r="AA9" s="179">
        <v>0</v>
      </c>
      <c r="AB9" s="209">
        <v>0</v>
      </c>
      <c r="AC9" s="207">
        <v>0</v>
      </c>
      <c r="AD9" s="161">
        <v>0</v>
      </c>
      <c r="AE9" s="180">
        <v>0</v>
      </c>
      <c r="AF9" s="209">
        <v>0</v>
      </c>
      <c r="AG9" s="207">
        <v>233438.94</v>
      </c>
      <c r="AH9" s="160">
        <v>137879.14000000001</v>
      </c>
      <c r="AI9" s="209">
        <v>123815.46772000002</v>
      </c>
      <c r="AJ9" s="209">
        <v>0</v>
      </c>
      <c r="AK9" s="297" t="s">
        <v>233</v>
      </c>
      <c r="AL9" s="295"/>
      <c r="AM9" s="295" t="s">
        <v>233</v>
      </c>
      <c r="AN9" s="296"/>
      <c r="AO9" s="297" t="s">
        <v>233</v>
      </c>
      <c r="AP9" s="295"/>
      <c r="AQ9" s="295" t="s">
        <v>233</v>
      </c>
      <c r="AR9" s="296"/>
      <c r="AS9" s="297" t="s">
        <v>233</v>
      </c>
      <c r="AT9" s="295"/>
      <c r="AU9" s="295" t="s">
        <v>233</v>
      </c>
      <c r="AV9" s="296"/>
      <c r="AW9" s="297" t="s">
        <v>233</v>
      </c>
      <c r="AX9" s="295"/>
      <c r="AY9" s="295" t="s">
        <v>233</v>
      </c>
      <c r="AZ9" s="296"/>
      <c r="BA9" s="257">
        <f t="shared" si="0"/>
        <v>137879.14000000001</v>
      </c>
    </row>
    <row r="10" spans="1:53" s="146" customFormat="1" ht="25.5" customHeight="1">
      <c r="A10" s="171">
        <v>154</v>
      </c>
      <c r="B10" s="226" t="s">
        <v>206</v>
      </c>
      <c r="C10" s="228" t="s">
        <v>219</v>
      </c>
      <c r="D10" s="222" t="s">
        <v>205</v>
      </c>
      <c r="E10" s="218">
        <v>0</v>
      </c>
      <c r="F10" s="163">
        <v>0</v>
      </c>
      <c r="G10" s="176">
        <v>0</v>
      </c>
      <c r="H10" s="214">
        <v>0</v>
      </c>
      <c r="I10" s="218">
        <v>68000</v>
      </c>
      <c r="J10" s="163">
        <v>45028.62</v>
      </c>
      <c r="K10" s="180">
        <v>40368.160000000003</v>
      </c>
      <c r="L10" s="204">
        <v>0</v>
      </c>
      <c r="M10" s="207">
        <v>80000</v>
      </c>
      <c r="N10" s="163">
        <v>82782.080000000002</v>
      </c>
      <c r="O10" s="180">
        <v>70364.767999999996</v>
      </c>
      <c r="P10" s="209">
        <v>0</v>
      </c>
      <c r="Q10" s="207">
        <v>0</v>
      </c>
      <c r="R10" s="163">
        <v>0</v>
      </c>
      <c r="S10" s="179">
        <v>0</v>
      </c>
      <c r="T10" s="204">
        <v>0</v>
      </c>
      <c r="U10" s="207">
        <v>175000</v>
      </c>
      <c r="V10" s="163">
        <v>82782.080000000002</v>
      </c>
      <c r="W10" s="180">
        <v>70364.767999999996</v>
      </c>
      <c r="X10" s="209">
        <v>0</v>
      </c>
      <c r="Y10" s="207">
        <v>142915.01</v>
      </c>
      <c r="Z10" s="163">
        <v>142915.01</v>
      </c>
      <c r="AA10" s="180">
        <f>60738.875*2</f>
        <v>121477.75</v>
      </c>
      <c r="AB10" s="209">
        <v>0</v>
      </c>
      <c r="AC10" s="207">
        <v>0</v>
      </c>
      <c r="AD10" s="161">
        <v>0</v>
      </c>
      <c r="AE10" s="180">
        <v>0</v>
      </c>
      <c r="AF10" s="209">
        <v>0</v>
      </c>
      <c r="AG10" s="207">
        <v>0</v>
      </c>
      <c r="AH10" s="160"/>
      <c r="AI10" s="180">
        <v>0</v>
      </c>
      <c r="AJ10" s="209">
        <v>0</v>
      </c>
      <c r="AK10" s="302" t="s">
        <v>266</v>
      </c>
      <c r="AL10" s="303"/>
      <c r="AM10" s="184"/>
      <c r="AN10" s="208"/>
      <c r="AO10" s="302" t="s">
        <v>266</v>
      </c>
      <c r="AP10" s="303"/>
      <c r="AQ10" s="180">
        <v>0</v>
      </c>
      <c r="AR10" s="211">
        <v>0</v>
      </c>
      <c r="AS10" s="302" t="s">
        <v>266</v>
      </c>
      <c r="AT10" s="303"/>
      <c r="AU10" s="180">
        <v>0</v>
      </c>
      <c r="AV10" s="209">
        <v>0</v>
      </c>
      <c r="AW10" s="302" t="s">
        <v>266</v>
      </c>
      <c r="AX10" s="303"/>
      <c r="AY10" s="180">
        <v>0</v>
      </c>
      <c r="AZ10" s="209">
        <v>0</v>
      </c>
      <c r="BA10" s="257">
        <f t="shared" si="0"/>
        <v>353507.79000000004</v>
      </c>
    </row>
    <row r="11" spans="1:53" s="146" customFormat="1" ht="23.4" customHeight="1">
      <c r="A11" s="169">
        <v>159</v>
      </c>
      <c r="B11" s="229" t="s">
        <v>209</v>
      </c>
      <c r="C11" s="230" t="s">
        <v>215</v>
      </c>
      <c r="D11" s="224" t="s">
        <v>204</v>
      </c>
      <c r="E11" s="218">
        <v>600000</v>
      </c>
      <c r="F11" s="163">
        <v>591967.75</v>
      </c>
      <c r="G11" s="176">
        <v>517528.04478279501</v>
      </c>
      <c r="H11" s="214">
        <v>0</v>
      </c>
      <c r="I11" s="218">
        <v>600000</v>
      </c>
      <c r="J11" s="163">
        <v>544928.13</v>
      </c>
      <c r="K11" s="180">
        <v>477427.52574000007</v>
      </c>
      <c r="L11" s="204">
        <v>0</v>
      </c>
      <c r="M11" s="207">
        <v>395000</v>
      </c>
      <c r="N11" s="163">
        <v>363811.19</v>
      </c>
      <c r="O11" s="180">
        <v>318301.95</v>
      </c>
      <c r="P11" s="209">
        <v>0</v>
      </c>
      <c r="Q11" s="207">
        <v>220000</v>
      </c>
      <c r="R11" s="163">
        <v>217761.50584500001</v>
      </c>
      <c r="S11" s="180">
        <v>191114.29364198502</v>
      </c>
      <c r="T11" s="204">
        <v>0</v>
      </c>
      <c r="U11" s="207">
        <v>575296.35</v>
      </c>
      <c r="V11" s="163">
        <v>1282789.71</v>
      </c>
      <c r="W11" s="180">
        <v>1131800.47593</v>
      </c>
      <c r="X11" s="209">
        <v>0</v>
      </c>
      <c r="Y11" s="207">
        <v>980000</v>
      </c>
      <c r="Z11" s="163">
        <v>983103.89270199998</v>
      </c>
      <c r="AA11" s="180">
        <v>865865.89979235595</v>
      </c>
      <c r="AB11" s="209">
        <v>0</v>
      </c>
      <c r="AC11" s="207">
        <v>60000</v>
      </c>
      <c r="AD11" s="163">
        <v>130010.06</v>
      </c>
      <c r="AE11" s="180">
        <v>114259.6932923225</v>
      </c>
      <c r="AF11" s="209">
        <v>0</v>
      </c>
      <c r="AG11" s="207">
        <v>350000</v>
      </c>
      <c r="AH11" s="160">
        <v>396036.08</v>
      </c>
      <c r="AI11" s="209">
        <v>348291.54804000002</v>
      </c>
      <c r="AJ11" s="209">
        <v>0</v>
      </c>
      <c r="AK11" s="207">
        <v>590000</v>
      </c>
      <c r="AL11" s="163">
        <v>745398.8</v>
      </c>
      <c r="AM11" s="209">
        <v>655875.63299500057</v>
      </c>
      <c r="AN11" s="209">
        <v>0</v>
      </c>
      <c r="AO11" s="207">
        <v>605000</v>
      </c>
      <c r="AP11" s="160">
        <v>746149.91632299998</v>
      </c>
      <c r="AQ11" s="209">
        <v>655522.67425663397</v>
      </c>
      <c r="AR11" s="209">
        <v>0</v>
      </c>
      <c r="AS11" s="207">
        <v>410000</v>
      </c>
      <c r="AT11" s="160">
        <v>546412.68000000005</v>
      </c>
      <c r="AU11" s="180">
        <v>480395.11694000004</v>
      </c>
      <c r="AV11" s="209">
        <v>0</v>
      </c>
      <c r="AW11" s="207">
        <v>65000</v>
      </c>
      <c r="AX11" s="207">
        <v>58243.810855999996</v>
      </c>
      <c r="AY11" s="180">
        <v>51138.065931567995</v>
      </c>
      <c r="AZ11" s="209">
        <v>0</v>
      </c>
      <c r="BA11" s="257">
        <f t="shared" si="0"/>
        <v>6606613.5257259998</v>
      </c>
    </row>
    <row r="12" spans="1:53" s="146" customFormat="1" ht="23.4" customHeight="1">
      <c r="A12" s="169">
        <v>162</v>
      </c>
      <c r="B12" s="229" t="s">
        <v>208</v>
      </c>
      <c r="C12" s="230" t="s">
        <v>216</v>
      </c>
      <c r="D12" s="224" t="s">
        <v>203</v>
      </c>
      <c r="E12" s="218">
        <v>60000</v>
      </c>
      <c r="F12" s="163">
        <v>66423.73</v>
      </c>
      <c r="G12" s="176">
        <v>58518.517879999999</v>
      </c>
      <c r="H12" s="214">
        <v>0</v>
      </c>
      <c r="I12" s="218">
        <v>600000</v>
      </c>
      <c r="J12" s="163">
        <v>619086.39</v>
      </c>
      <c r="K12" s="180">
        <v>544793.34712000005</v>
      </c>
      <c r="L12" s="204">
        <v>0</v>
      </c>
      <c r="M12" s="207">
        <v>170000</v>
      </c>
      <c r="N12" s="163">
        <v>84845.95</v>
      </c>
      <c r="O12" s="180">
        <v>74189.179999999993</v>
      </c>
      <c r="P12" s="209">
        <v>0</v>
      </c>
      <c r="Q12" s="207">
        <v>220000</v>
      </c>
      <c r="R12" s="163">
        <v>221678.09999999998</v>
      </c>
      <c r="S12" s="180">
        <v>195308.37393999999</v>
      </c>
      <c r="T12" s="204">
        <v>0</v>
      </c>
      <c r="U12" s="207">
        <v>130000</v>
      </c>
      <c r="V12" s="163">
        <v>147703.52000000002</v>
      </c>
      <c r="W12" s="180">
        <v>130842.98740000001</v>
      </c>
      <c r="X12" s="209">
        <v>0</v>
      </c>
      <c r="Y12" s="207">
        <v>80000</v>
      </c>
      <c r="Z12" s="163">
        <v>88605.73</v>
      </c>
      <c r="AA12" s="180">
        <v>77829.759089999992</v>
      </c>
      <c r="AB12" s="209">
        <v>0</v>
      </c>
      <c r="AC12" s="207">
        <v>40000</v>
      </c>
      <c r="AD12" s="163">
        <v>42204.861400179994</v>
      </c>
      <c r="AE12" s="180">
        <v>37146.455474089671</v>
      </c>
      <c r="AF12" s="209">
        <v>0</v>
      </c>
      <c r="AG12" s="207">
        <v>0</v>
      </c>
      <c r="AH12" s="163">
        <v>0</v>
      </c>
      <c r="AI12" s="180">
        <v>0</v>
      </c>
      <c r="AJ12" s="209">
        <v>0</v>
      </c>
      <c r="AK12" s="207">
        <v>60000</v>
      </c>
      <c r="AL12" s="163">
        <v>50166.794999999998</v>
      </c>
      <c r="AM12" s="209">
        <v>44023.537985000003</v>
      </c>
      <c r="AN12" s="209">
        <v>0</v>
      </c>
      <c r="AO12" s="207">
        <v>0</v>
      </c>
      <c r="AP12" s="160">
        <v>0</v>
      </c>
      <c r="AQ12" s="179">
        <v>0</v>
      </c>
      <c r="AR12" s="211">
        <v>0</v>
      </c>
      <c r="AS12" s="207">
        <v>0</v>
      </c>
      <c r="AT12" s="160">
        <v>0</v>
      </c>
      <c r="AU12" s="180">
        <v>0</v>
      </c>
      <c r="AV12" s="209">
        <v>0</v>
      </c>
      <c r="AW12" s="207">
        <v>150407.09</v>
      </c>
      <c r="AX12" s="207">
        <v>150407.09</v>
      </c>
      <c r="AY12" s="180">
        <v>132809.46046999999</v>
      </c>
      <c r="AZ12" s="209">
        <v>0</v>
      </c>
      <c r="BA12" s="257">
        <f t="shared" si="0"/>
        <v>1471122.16640018</v>
      </c>
    </row>
    <row r="13" spans="1:53" s="146" customFormat="1" ht="23.4" customHeight="1">
      <c r="A13" s="169">
        <v>172</v>
      </c>
      <c r="B13" s="229" t="s">
        <v>248</v>
      </c>
      <c r="C13" s="230" t="s">
        <v>218</v>
      </c>
      <c r="D13" s="222" t="s">
        <v>205</v>
      </c>
      <c r="E13" s="218">
        <v>0</v>
      </c>
      <c r="F13" s="163">
        <v>0</v>
      </c>
      <c r="G13" s="176"/>
      <c r="H13" s="214">
        <v>0</v>
      </c>
      <c r="I13" s="218">
        <v>0</v>
      </c>
      <c r="J13" s="163">
        <v>3541.48</v>
      </c>
      <c r="K13" s="180">
        <v>3174.9368199999999</v>
      </c>
      <c r="L13" s="204">
        <v>0</v>
      </c>
      <c r="M13" s="160">
        <v>0</v>
      </c>
      <c r="N13" s="160">
        <v>0</v>
      </c>
      <c r="O13" s="180">
        <v>0</v>
      </c>
      <c r="P13" s="180">
        <v>0</v>
      </c>
      <c r="Q13" s="163">
        <v>0</v>
      </c>
      <c r="R13" s="163">
        <v>0</v>
      </c>
      <c r="S13" s="179">
        <v>0</v>
      </c>
      <c r="T13" s="204">
        <v>0</v>
      </c>
      <c r="U13" s="207">
        <v>0</v>
      </c>
      <c r="V13" s="163">
        <v>0</v>
      </c>
      <c r="W13" s="163">
        <v>0</v>
      </c>
      <c r="X13" s="209">
        <v>0</v>
      </c>
      <c r="Y13" s="297" t="s">
        <v>233</v>
      </c>
      <c r="Z13" s="295"/>
      <c r="AA13" s="295" t="s">
        <v>233</v>
      </c>
      <c r="AB13" s="296"/>
      <c r="AC13" s="297" t="s">
        <v>233</v>
      </c>
      <c r="AD13" s="295"/>
      <c r="AE13" s="295" t="s">
        <v>233</v>
      </c>
      <c r="AF13" s="296"/>
      <c r="AG13" s="297" t="s">
        <v>233</v>
      </c>
      <c r="AH13" s="295"/>
      <c r="AI13" s="295" t="s">
        <v>233</v>
      </c>
      <c r="AJ13" s="296"/>
      <c r="AK13" s="297" t="s">
        <v>233</v>
      </c>
      <c r="AL13" s="295"/>
      <c r="AM13" s="295" t="s">
        <v>233</v>
      </c>
      <c r="AN13" s="296"/>
      <c r="AO13" s="297" t="s">
        <v>233</v>
      </c>
      <c r="AP13" s="295"/>
      <c r="AQ13" s="295" t="s">
        <v>233</v>
      </c>
      <c r="AR13" s="296"/>
      <c r="AS13" s="297" t="s">
        <v>233</v>
      </c>
      <c r="AT13" s="295"/>
      <c r="AU13" s="295" t="s">
        <v>233</v>
      </c>
      <c r="AV13" s="296"/>
      <c r="AW13" s="297" t="s">
        <v>233</v>
      </c>
      <c r="AX13" s="295"/>
      <c r="AY13" s="295" t="s">
        <v>233</v>
      </c>
      <c r="AZ13" s="296"/>
      <c r="BA13" s="257">
        <f t="shared" si="0"/>
        <v>3541.48</v>
      </c>
    </row>
    <row r="14" spans="1:53" s="146" customFormat="1" ht="23.4" customHeight="1">
      <c r="A14" s="169">
        <v>172</v>
      </c>
      <c r="B14" s="229" t="s">
        <v>220</v>
      </c>
      <c r="C14" s="230" t="s">
        <v>218</v>
      </c>
      <c r="D14" s="222" t="s">
        <v>205</v>
      </c>
      <c r="E14" s="218">
        <v>0</v>
      </c>
      <c r="F14" s="163">
        <v>0</v>
      </c>
      <c r="G14" s="176"/>
      <c r="H14" s="214">
        <v>0</v>
      </c>
      <c r="I14" s="218">
        <v>37000</v>
      </c>
      <c r="J14" s="163">
        <v>0</v>
      </c>
      <c r="K14" s="180">
        <v>0</v>
      </c>
      <c r="L14" s="204">
        <v>0</v>
      </c>
      <c r="M14" s="163">
        <v>53500</v>
      </c>
      <c r="N14" s="163">
        <v>58229.89</v>
      </c>
      <c r="O14" s="180">
        <v>49495.406499999997</v>
      </c>
      <c r="P14" s="180">
        <v>0</v>
      </c>
      <c r="Q14" s="163">
        <v>0</v>
      </c>
      <c r="R14" s="163">
        <v>0</v>
      </c>
      <c r="S14" s="179">
        <v>0</v>
      </c>
      <c r="T14" s="204">
        <v>0</v>
      </c>
      <c r="U14" s="207">
        <v>0</v>
      </c>
      <c r="V14" s="163">
        <v>0</v>
      </c>
      <c r="W14" s="163">
        <v>0</v>
      </c>
      <c r="X14" s="209">
        <v>0</v>
      </c>
      <c r="Y14" s="297" t="s">
        <v>233</v>
      </c>
      <c r="Z14" s="295"/>
      <c r="AA14" s="295" t="s">
        <v>233</v>
      </c>
      <c r="AB14" s="296"/>
      <c r="AC14" s="297" t="s">
        <v>233</v>
      </c>
      <c r="AD14" s="295"/>
      <c r="AE14" s="295" t="s">
        <v>233</v>
      </c>
      <c r="AF14" s="296"/>
      <c r="AG14" s="297" t="s">
        <v>233</v>
      </c>
      <c r="AH14" s="295"/>
      <c r="AI14" s="295" t="s">
        <v>233</v>
      </c>
      <c r="AJ14" s="296"/>
      <c r="AK14" s="297" t="s">
        <v>233</v>
      </c>
      <c r="AL14" s="295"/>
      <c r="AM14" s="295" t="s">
        <v>233</v>
      </c>
      <c r="AN14" s="296"/>
      <c r="AO14" s="297" t="s">
        <v>233</v>
      </c>
      <c r="AP14" s="295"/>
      <c r="AQ14" s="295" t="s">
        <v>233</v>
      </c>
      <c r="AR14" s="296"/>
      <c r="AS14" s="297" t="s">
        <v>233</v>
      </c>
      <c r="AT14" s="295"/>
      <c r="AU14" s="295" t="s">
        <v>233</v>
      </c>
      <c r="AV14" s="296"/>
      <c r="AW14" s="297" t="s">
        <v>233</v>
      </c>
      <c r="AX14" s="295"/>
      <c r="AY14" s="295" t="s">
        <v>233</v>
      </c>
      <c r="AZ14" s="296"/>
      <c r="BA14" s="257">
        <f t="shared" si="0"/>
        <v>58229.89</v>
      </c>
    </row>
    <row r="15" spans="1:53" s="146" customFormat="1" ht="23.4" customHeight="1">
      <c r="A15" s="169">
        <v>173</v>
      </c>
      <c r="B15" s="229" t="s">
        <v>221</v>
      </c>
      <c r="C15" s="230" t="s">
        <v>218</v>
      </c>
      <c r="D15" s="222" t="s">
        <v>205</v>
      </c>
      <c r="E15" s="218">
        <v>0</v>
      </c>
      <c r="F15" s="163">
        <v>0</v>
      </c>
      <c r="G15" s="176"/>
      <c r="H15" s="214">
        <v>0</v>
      </c>
      <c r="I15" s="218">
        <v>75000</v>
      </c>
      <c r="J15" s="163">
        <v>67382.02</v>
      </c>
      <c r="K15" s="180">
        <v>60407.987000000001</v>
      </c>
      <c r="L15" s="204">
        <v>0</v>
      </c>
      <c r="M15" s="163">
        <v>44500</v>
      </c>
      <c r="N15" s="163">
        <v>0</v>
      </c>
      <c r="O15" s="180">
        <v>0</v>
      </c>
      <c r="P15" s="180">
        <v>0</v>
      </c>
      <c r="Q15" s="163">
        <v>40000</v>
      </c>
      <c r="R15" s="163">
        <v>0</v>
      </c>
      <c r="S15" s="179">
        <v>0</v>
      </c>
      <c r="T15" s="204">
        <v>0</v>
      </c>
      <c r="U15" s="207">
        <v>70000</v>
      </c>
      <c r="V15" s="163">
        <f>41197.32+21985.05</f>
        <v>63182.369999999995</v>
      </c>
      <c r="W15" s="180">
        <f>35017.722+19709.597325</f>
        <v>54727.319325000004</v>
      </c>
      <c r="X15" s="209">
        <v>0</v>
      </c>
      <c r="Y15" s="297" t="s">
        <v>233</v>
      </c>
      <c r="Z15" s="295"/>
      <c r="AA15" s="295" t="s">
        <v>233</v>
      </c>
      <c r="AB15" s="296"/>
      <c r="AC15" s="297" t="s">
        <v>233</v>
      </c>
      <c r="AD15" s="295"/>
      <c r="AE15" s="295" t="s">
        <v>233</v>
      </c>
      <c r="AF15" s="296"/>
      <c r="AG15" s="297" t="s">
        <v>233</v>
      </c>
      <c r="AH15" s="295"/>
      <c r="AI15" s="295" t="s">
        <v>233</v>
      </c>
      <c r="AJ15" s="296"/>
      <c r="AK15" s="297" t="s">
        <v>233</v>
      </c>
      <c r="AL15" s="295"/>
      <c r="AM15" s="295" t="s">
        <v>233</v>
      </c>
      <c r="AN15" s="296"/>
      <c r="AO15" s="297" t="s">
        <v>233</v>
      </c>
      <c r="AP15" s="295"/>
      <c r="AQ15" s="295" t="s">
        <v>233</v>
      </c>
      <c r="AR15" s="296"/>
      <c r="AS15" s="297" t="s">
        <v>233</v>
      </c>
      <c r="AT15" s="295"/>
      <c r="AU15" s="295" t="s">
        <v>233</v>
      </c>
      <c r="AV15" s="296"/>
      <c r="AW15" s="297" t="s">
        <v>233</v>
      </c>
      <c r="AX15" s="295"/>
      <c r="AY15" s="295" t="s">
        <v>233</v>
      </c>
      <c r="AZ15" s="296"/>
      <c r="BA15" s="257">
        <f t="shared" si="0"/>
        <v>130564.39</v>
      </c>
    </row>
    <row r="16" spans="1:53" s="146" customFormat="1" ht="23.4" customHeight="1">
      <c r="A16" s="169">
        <v>174</v>
      </c>
      <c r="B16" s="229" t="s">
        <v>226</v>
      </c>
      <c r="C16" s="230" t="s">
        <v>222</v>
      </c>
      <c r="D16" s="222" t="s">
        <v>223</v>
      </c>
      <c r="E16" s="218">
        <v>235000</v>
      </c>
      <c r="F16" s="163">
        <v>252433.26</v>
      </c>
      <c r="G16" s="176">
        <v>220879.10250000001</v>
      </c>
      <c r="H16" s="214">
        <v>0</v>
      </c>
      <c r="I16" s="218">
        <v>235000</v>
      </c>
      <c r="J16" s="163">
        <v>216415.35999999999</v>
      </c>
      <c r="K16" s="180">
        <v>199426.76</v>
      </c>
      <c r="L16" s="204">
        <v>0</v>
      </c>
      <c r="M16" s="207">
        <v>210000</v>
      </c>
      <c r="N16" s="163">
        <v>200437.91</v>
      </c>
      <c r="O16" s="180">
        <v>175383.17125000001</v>
      </c>
      <c r="P16" s="209">
        <v>0</v>
      </c>
      <c r="Q16" s="207">
        <v>227133</v>
      </c>
      <c r="R16" s="163">
        <v>227113.1</v>
      </c>
      <c r="S16" s="180">
        <v>198723.96249999999</v>
      </c>
      <c r="T16" s="204">
        <v>0</v>
      </c>
      <c r="U16" s="207">
        <v>165000</v>
      </c>
      <c r="V16" s="163">
        <v>112614.42</v>
      </c>
      <c r="W16" s="180">
        <v>98537.617499999993</v>
      </c>
      <c r="X16" s="209">
        <v>0</v>
      </c>
      <c r="Y16" s="207">
        <v>125000</v>
      </c>
      <c r="Z16" s="163">
        <v>142016.9</v>
      </c>
      <c r="AA16" s="180">
        <v>124264.78749999999</v>
      </c>
      <c r="AB16" s="209">
        <v>0</v>
      </c>
      <c r="AC16" s="207">
        <v>260000</v>
      </c>
      <c r="AD16" s="163">
        <v>263211.58</v>
      </c>
      <c r="AE16" s="180">
        <v>230310.13250000001</v>
      </c>
      <c r="AF16" s="209">
        <v>0</v>
      </c>
      <c r="AG16" s="207">
        <v>355000</v>
      </c>
      <c r="AH16" s="160">
        <v>324826.21000000002</v>
      </c>
      <c r="AI16" s="209">
        <v>284222.93</v>
      </c>
      <c r="AJ16" s="209">
        <v>0</v>
      </c>
      <c r="AK16" s="207">
        <v>485000</v>
      </c>
      <c r="AL16" s="163">
        <v>455466.19</v>
      </c>
      <c r="AM16" s="209">
        <v>398532.91625000001</v>
      </c>
      <c r="AN16" s="209">
        <v>0</v>
      </c>
      <c r="AO16" s="207">
        <v>500000</v>
      </c>
      <c r="AP16" s="160">
        <v>517754.23</v>
      </c>
      <c r="AQ16" s="211">
        <v>453034.95124999998</v>
      </c>
      <c r="AR16" s="211">
        <v>0</v>
      </c>
      <c r="AS16" s="207">
        <v>400000</v>
      </c>
      <c r="AT16" s="160">
        <v>352359.24</v>
      </c>
      <c r="AU16" s="209">
        <v>308314.33499999996</v>
      </c>
      <c r="AV16" s="209">
        <v>0</v>
      </c>
      <c r="AW16" s="207">
        <v>250000</v>
      </c>
      <c r="AX16" s="207">
        <v>249376.76</v>
      </c>
      <c r="AY16" s="209">
        <v>218204.66500000001</v>
      </c>
      <c r="AZ16" s="209">
        <v>0</v>
      </c>
      <c r="BA16" s="257">
        <f t="shared" si="0"/>
        <v>3314025.16</v>
      </c>
    </row>
    <row r="17" spans="1:54 16375:16376" s="146" customFormat="1" ht="23.4" customHeight="1">
      <c r="A17" s="169">
        <v>175</v>
      </c>
      <c r="B17" s="229" t="s">
        <v>224</v>
      </c>
      <c r="C17" s="230" t="s">
        <v>217</v>
      </c>
      <c r="D17" s="222" t="s">
        <v>225</v>
      </c>
      <c r="E17" s="218">
        <v>169000</v>
      </c>
      <c r="F17" s="163">
        <v>170724.27</v>
      </c>
      <c r="G17" s="176">
        <v>160139.37</v>
      </c>
      <c r="H17" s="214">
        <v>0</v>
      </c>
      <c r="I17" s="218">
        <v>0</v>
      </c>
      <c r="J17" s="163">
        <v>0</v>
      </c>
      <c r="K17" s="180">
        <v>0</v>
      </c>
      <c r="L17" s="204">
        <v>0</v>
      </c>
      <c r="M17" s="207">
        <v>0</v>
      </c>
      <c r="N17" s="163">
        <v>0</v>
      </c>
      <c r="O17" s="180">
        <v>0</v>
      </c>
      <c r="P17" s="209">
        <v>0</v>
      </c>
      <c r="Q17" s="207">
        <v>100000</v>
      </c>
      <c r="R17" s="163">
        <v>150656.29</v>
      </c>
      <c r="S17" s="180">
        <v>141315.60002000001</v>
      </c>
      <c r="T17" s="204">
        <v>0</v>
      </c>
      <c r="U17" s="207">
        <v>866729.56</v>
      </c>
      <c r="V17" s="163">
        <f>U17</f>
        <v>866729.56</v>
      </c>
      <c r="W17" s="180">
        <v>812992.33</v>
      </c>
      <c r="X17" s="209">
        <v>0</v>
      </c>
      <c r="Y17" s="207">
        <v>1500000</v>
      </c>
      <c r="Z17" s="163">
        <v>2325113.52</v>
      </c>
      <c r="AA17" s="180">
        <v>2180956.4817599999</v>
      </c>
      <c r="AB17" s="209">
        <v>0</v>
      </c>
      <c r="AC17" s="207">
        <v>0</v>
      </c>
      <c r="AD17" s="163">
        <v>0</v>
      </c>
      <c r="AE17" s="180"/>
      <c r="AF17" s="209">
        <v>0</v>
      </c>
      <c r="AG17" s="207">
        <v>0</v>
      </c>
      <c r="AH17" s="160">
        <v>0</v>
      </c>
      <c r="AI17" s="180">
        <v>0</v>
      </c>
      <c r="AJ17" s="209">
        <v>0</v>
      </c>
      <c r="AK17" s="207">
        <v>0</v>
      </c>
      <c r="AL17" s="163">
        <v>0</v>
      </c>
      <c r="AM17" s="184"/>
      <c r="AN17" s="209">
        <v>0</v>
      </c>
      <c r="AO17" s="207">
        <v>0</v>
      </c>
      <c r="AP17" s="163">
        <v>506577.48</v>
      </c>
      <c r="AQ17" s="180">
        <v>475169.67624</v>
      </c>
      <c r="AR17" s="209">
        <v>0</v>
      </c>
      <c r="AS17" s="207">
        <v>500000</v>
      </c>
      <c r="AT17" s="160">
        <v>1057736.99</v>
      </c>
      <c r="AU17" s="180">
        <v>992157.29661999992</v>
      </c>
      <c r="AV17" s="209">
        <v>0</v>
      </c>
      <c r="AW17" s="207">
        <v>0</v>
      </c>
      <c r="AX17" s="207">
        <v>0</v>
      </c>
      <c r="AY17" s="180">
        <v>0</v>
      </c>
      <c r="AZ17" s="209">
        <v>0</v>
      </c>
      <c r="BA17" s="257">
        <f t="shared" si="0"/>
        <v>5077538.1100000003</v>
      </c>
    </row>
    <row r="18" spans="1:54 16375:16376" s="146" customFormat="1" ht="23.4" customHeight="1">
      <c r="A18" s="169">
        <v>179</v>
      </c>
      <c r="B18" s="229" t="s">
        <v>227</v>
      </c>
      <c r="C18" s="230" t="s">
        <v>217</v>
      </c>
      <c r="D18" s="224" t="s">
        <v>223</v>
      </c>
      <c r="E18" s="218">
        <v>154847.77000000002</v>
      </c>
      <c r="F18" s="163">
        <v>21898.98</v>
      </c>
      <c r="G18" s="176">
        <v>18942.617699999999</v>
      </c>
      <c r="H18" s="214">
        <v>0</v>
      </c>
      <c r="I18" s="218">
        <v>117500</v>
      </c>
      <c r="J18" s="163">
        <v>119808.63</v>
      </c>
      <c r="K18" s="180">
        <v>103634.46495000001</v>
      </c>
      <c r="L18" s="204">
        <v>0</v>
      </c>
      <c r="M18" s="300" t="s">
        <v>233</v>
      </c>
      <c r="N18" s="299"/>
      <c r="O18" s="300" t="s">
        <v>233</v>
      </c>
      <c r="P18" s="299"/>
      <c r="Q18" s="300" t="s">
        <v>233</v>
      </c>
      <c r="R18" s="299"/>
      <c r="S18" s="300" t="s">
        <v>233</v>
      </c>
      <c r="T18" s="312"/>
      <c r="U18" s="297" t="s">
        <v>233</v>
      </c>
      <c r="V18" s="295"/>
      <c r="W18" s="295" t="s">
        <v>233</v>
      </c>
      <c r="X18" s="296"/>
      <c r="Y18" s="297" t="s">
        <v>233</v>
      </c>
      <c r="Z18" s="295"/>
      <c r="AA18" s="295" t="s">
        <v>233</v>
      </c>
      <c r="AB18" s="296"/>
      <c r="AC18" s="297" t="s">
        <v>233</v>
      </c>
      <c r="AD18" s="295"/>
      <c r="AE18" s="295" t="s">
        <v>233</v>
      </c>
      <c r="AF18" s="296"/>
      <c r="AG18" s="297" t="s">
        <v>233</v>
      </c>
      <c r="AH18" s="295"/>
      <c r="AI18" s="295" t="s">
        <v>233</v>
      </c>
      <c r="AJ18" s="296"/>
      <c r="AK18" s="297" t="s">
        <v>233</v>
      </c>
      <c r="AL18" s="295"/>
      <c r="AM18" s="295" t="s">
        <v>233</v>
      </c>
      <c r="AN18" s="296"/>
      <c r="AO18" s="297" t="s">
        <v>233</v>
      </c>
      <c r="AP18" s="295"/>
      <c r="AQ18" s="295" t="s">
        <v>233</v>
      </c>
      <c r="AR18" s="296"/>
      <c r="AS18" s="297" t="s">
        <v>233</v>
      </c>
      <c r="AT18" s="295"/>
      <c r="AU18" s="295" t="s">
        <v>233</v>
      </c>
      <c r="AV18" s="296"/>
      <c r="AW18" s="297" t="s">
        <v>233</v>
      </c>
      <c r="AX18" s="295"/>
      <c r="AY18" s="295" t="s">
        <v>233</v>
      </c>
      <c r="AZ18" s="296"/>
      <c r="BA18" s="257">
        <f t="shared" si="0"/>
        <v>141707.61000000002</v>
      </c>
    </row>
    <row r="19" spans="1:54 16375:16376" s="146" customFormat="1" ht="23.4" customHeight="1">
      <c r="A19" s="169">
        <v>181</v>
      </c>
      <c r="B19" s="229" t="s">
        <v>228</v>
      </c>
      <c r="C19" s="230" t="s">
        <v>219</v>
      </c>
      <c r="D19" s="224" t="s">
        <v>223</v>
      </c>
      <c r="E19" s="218">
        <v>99385</v>
      </c>
      <c r="F19" s="163">
        <v>99385</v>
      </c>
      <c r="G19" s="176">
        <v>86266.18</v>
      </c>
      <c r="H19" s="214">
        <v>0</v>
      </c>
      <c r="I19" s="297" t="s">
        <v>233</v>
      </c>
      <c r="J19" s="295"/>
      <c r="K19" s="295" t="s">
        <v>233</v>
      </c>
      <c r="L19" s="295"/>
      <c r="M19" s="300" t="s">
        <v>233</v>
      </c>
      <c r="N19" s="299"/>
      <c r="O19" s="300" t="s">
        <v>233</v>
      </c>
      <c r="P19" s="299"/>
      <c r="Q19" s="300" t="s">
        <v>233</v>
      </c>
      <c r="R19" s="299"/>
      <c r="S19" s="300" t="s">
        <v>233</v>
      </c>
      <c r="T19" s="312"/>
      <c r="U19" s="297" t="s">
        <v>233</v>
      </c>
      <c r="V19" s="295"/>
      <c r="W19" s="295" t="s">
        <v>233</v>
      </c>
      <c r="X19" s="296"/>
      <c r="Y19" s="297" t="s">
        <v>233</v>
      </c>
      <c r="Z19" s="295"/>
      <c r="AA19" s="295" t="s">
        <v>233</v>
      </c>
      <c r="AB19" s="296"/>
      <c r="AC19" s="297" t="s">
        <v>233</v>
      </c>
      <c r="AD19" s="295"/>
      <c r="AE19" s="295" t="s">
        <v>233</v>
      </c>
      <c r="AF19" s="296"/>
      <c r="AG19" s="297" t="s">
        <v>233</v>
      </c>
      <c r="AH19" s="295"/>
      <c r="AI19" s="295" t="s">
        <v>233</v>
      </c>
      <c r="AJ19" s="296"/>
      <c r="AK19" s="297" t="s">
        <v>233</v>
      </c>
      <c r="AL19" s="295"/>
      <c r="AM19" s="295" t="s">
        <v>233</v>
      </c>
      <c r="AN19" s="296"/>
      <c r="AO19" s="297" t="s">
        <v>233</v>
      </c>
      <c r="AP19" s="295"/>
      <c r="AQ19" s="295" t="s">
        <v>233</v>
      </c>
      <c r="AR19" s="296"/>
      <c r="AS19" s="297" t="s">
        <v>233</v>
      </c>
      <c r="AT19" s="295"/>
      <c r="AU19" s="295" t="s">
        <v>233</v>
      </c>
      <c r="AV19" s="296"/>
      <c r="AW19" s="297" t="s">
        <v>233</v>
      </c>
      <c r="AX19" s="295"/>
      <c r="AY19" s="295" t="s">
        <v>233</v>
      </c>
      <c r="AZ19" s="296"/>
      <c r="BA19" s="257">
        <f t="shared" si="0"/>
        <v>99385</v>
      </c>
    </row>
    <row r="20" spans="1:54 16375:16376" s="146" customFormat="1" ht="23.4" customHeight="1">
      <c r="A20" s="169">
        <v>183</v>
      </c>
      <c r="B20" s="229" t="s">
        <v>232</v>
      </c>
      <c r="C20" s="230" t="s">
        <v>217</v>
      </c>
      <c r="D20" s="224" t="s">
        <v>225</v>
      </c>
      <c r="E20" s="218">
        <v>99000</v>
      </c>
      <c r="F20" s="163">
        <v>0</v>
      </c>
      <c r="G20" s="176">
        <v>0</v>
      </c>
      <c r="H20" s="214">
        <v>0</v>
      </c>
      <c r="I20" s="218">
        <v>99000</v>
      </c>
      <c r="J20" s="163">
        <v>103633.44</v>
      </c>
      <c r="K20" s="180">
        <v>97208.166719999994</v>
      </c>
      <c r="L20" s="204">
        <v>0</v>
      </c>
      <c r="M20" s="218">
        <v>215000</v>
      </c>
      <c r="N20" s="163">
        <v>102277.71</v>
      </c>
      <c r="O20" s="180">
        <v>95936.49</v>
      </c>
      <c r="P20" s="209">
        <v>0</v>
      </c>
      <c r="Q20" s="207">
        <v>120000</v>
      </c>
      <c r="R20" s="163">
        <v>197040.23</v>
      </c>
      <c r="S20" s="180">
        <v>184823.73574</v>
      </c>
      <c r="T20" s="204">
        <v>0</v>
      </c>
      <c r="U20" s="207">
        <v>300000</v>
      </c>
      <c r="V20" s="163">
        <v>307763.19</v>
      </c>
      <c r="W20" s="180">
        <v>288681.87222000002</v>
      </c>
      <c r="X20" s="209">
        <v>0</v>
      </c>
      <c r="Y20" s="207">
        <v>20000</v>
      </c>
      <c r="Z20" s="163">
        <v>21444.47</v>
      </c>
      <c r="AA20" s="180">
        <v>20114.91286</v>
      </c>
      <c r="AB20" s="209">
        <v>0</v>
      </c>
      <c r="AC20" s="207">
        <v>0</v>
      </c>
      <c r="AD20" s="161">
        <v>0</v>
      </c>
      <c r="AE20" s="180">
        <v>0</v>
      </c>
      <c r="AF20" s="209">
        <v>0</v>
      </c>
      <c r="AG20" s="207">
        <v>0</v>
      </c>
      <c r="AH20" s="160">
        <v>0</v>
      </c>
      <c r="AI20" s="180">
        <v>0</v>
      </c>
      <c r="AJ20" s="209">
        <v>0</v>
      </c>
      <c r="AK20" s="207">
        <v>0</v>
      </c>
      <c r="AL20" s="163">
        <v>0</v>
      </c>
      <c r="AM20" s="184"/>
      <c r="AN20" s="209">
        <v>0</v>
      </c>
      <c r="AO20" s="207">
        <v>0</v>
      </c>
      <c r="AP20" s="160">
        <v>0</v>
      </c>
      <c r="AQ20" s="179">
        <v>0</v>
      </c>
      <c r="AR20" s="211">
        <v>0</v>
      </c>
      <c r="AS20" s="207">
        <v>160000</v>
      </c>
      <c r="AT20" s="160">
        <v>202125.28</v>
      </c>
      <c r="AU20" s="180">
        <v>189593.51263999997</v>
      </c>
      <c r="AV20" s="209">
        <v>0</v>
      </c>
      <c r="AW20" s="207">
        <v>0</v>
      </c>
      <c r="AX20" s="207">
        <v>0</v>
      </c>
      <c r="AY20" s="180">
        <v>0</v>
      </c>
      <c r="AZ20" s="209">
        <v>0</v>
      </c>
      <c r="BA20" s="257">
        <f t="shared" si="0"/>
        <v>934284.31999999983</v>
      </c>
    </row>
    <row r="21" spans="1:54 16375:16376" s="146" customFormat="1" ht="23.25" customHeight="1">
      <c r="A21" s="169">
        <v>184</v>
      </c>
      <c r="B21" s="229" t="s">
        <v>265</v>
      </c>
      <c r="C21" s="230" t="s">
        <v>230</v>
      </c>
      <c r="D21" s="224" t="s">
        <v>231</v>
      </c>
      <c r="E21" s="218">
        <v>0</v>
      </c>
      <c r="F21" s="163">
        <v>23182.63</v>
      </c>
      <c r="G21" s="176">
        <v>20783.23</v>
      </c>
      <c r="H21" s="214">
        <v>0</v>
      </c>
      <c r="I21" s="207">
        <v>170000</v>
      </c>
      <c r="J21" s="163">
        <v>111330.18</v>
      </c>
      <c r="K21" s="180">
        <v>99807.506370000003</v>
      </c>
      <c r="L21" s="204">
        <v>0</v>
      </c>
      <c r="M21" s="218">
        <f>56647.44+188916.453</f>
        <v>245563.89300000001</v>
      </c>
      <c r="N21" s="163">
        <f>M21</f>
        <v>245563.89300000001</v>
      </c>
      <c r="O21" s="180">
        <f>52483.85316+175031.0937045</f>
        <v>227514.9468645</v>
      </c>
      <c r="P21" s="209">
        <v>0</v>
      </c>
      <c r="Q21" s="219">
        <f>269611.31+15659.32</f>
        <v>285270.63</v>
      </c>
      <c r="R21" s="195">
        <f>Q21</f>
        <v>285270.63</v>
      </c>
      <c r="S21" s="196">
        <v>241706.53941500001</v>
      </c>
      <c r="T21" s="204">
        <v>0</v>
      </c>
      <c r="U21" s="207">
        <v>82709.63</v>
      </c>
      <c r="V21" s="163">
        <f>U21</f>
        <v>82709.63</v>
      </c>
      <c r="W21" s="180">
        <v>74397.312185000003</v>
      </c>
      <c r="X21" s="209">
        <v>0</v>
      </c>
      <c r="Y21" s="207">
        <v>200000</v>
      </c>
      <c r="Z21" s="163">
        <v>363722.98</v>
      </c>
      <c r="AA21" s="180">
        <v>314074.79322999995</v>
      </c>
      <c r="AB21" s="209">
        <v>0</v>
      </c>
      <c r="AC21" s="207">
        <v>286540.05</v>
      </c>
      <c r="AD21" s="163">
        <v>286540.05</v>
      </c>
      <c r="AE21" s="180">
        <v>247112.75323500001</v>
      </c>
      <c r="AF21" s="209">
        <v>0</v>
      </c>
      <c r="AG21" s="207">
        <v>700000</v>
      </c>
      <c r="AH21" s="160">
        <v>781413.92999999993</v>
      </c>
      <c r="AI21" s="209">
        <v>702881.83003499999</v>
      </c>
      <c r="AJ21" s="209">
        <v>0</v>
      </c>
      <c r="AK21" s="207">
        <v>870000</v>
      </c>
      <c r="AL21" s="163">
        <f>654217.27+17018.32</f>
        <v>671235.59</v>
      </c>
      <c r="AM21" s="209">
        <v>603776.41320499999</v>
      </c>
      <c r="AN21" s="209">
        <v>0</v>
      </c>
      <c r="AO21" s="207">
        <v>350000</v>
      </c>
      <c r="AP21" s="160">
        <v>736406.75</v>
      </c>
      <c r="AQ21" s="179">
        <v>662397.87162500003</v>
      </c>
      <c r="AR21" s="211">
        <v>0</v>
      </c>
      <c r="AS21" s="207">
        <v>50000</v>
      </c>
      <c r="AT21" s="160">
        <v>205096.17</v>
      </c>
      <c r="AU21" s="180">
        <v>184484.00491500003</v>
      </c>
      <c r="AV21" s="209">
        <v>0</v>
      </c>
      <c r="AW21" s="207">
        <v>124724.07586031001</v>
      </c>
      <c r="AX21" s="207">
        <v>124724.07586031001</v>
      </c>
      <c r="AY21" s="180">
        <v>112189.30996</v>
      </c>
      <c r="AZ21" s="209">
        <v>0</v>
      </c>
      <c r="BA21" s="257">
        <f t="shared" si="0"/>
        <v>3917196.5088603096</v>
      </c>
    </row>
    <row r="22" spans="1:54 16375:16376" s="146" customFormat="1" ht="23.4" customHeight="1">
      <c r="A22" s="169">
        <v>184</v>
      </c>
      <c r="B22" s="229" t="s">
        <v>268</v>
      </c>
      <c r="C22" s="230" t="s">
        <v>230</v>
      </c>
      <c r="D22" s="224" t="s">
        <v>231</v>
      </c>
      <c r="E22" s="218"/>
      <c r="F22" s="163"/>
      <c r="G22" s="176"/>
      <c r="H22" s="214">
        <v>0</v>
      </c>
      <c r="I22" s="207">
        <v>0</v>
      </c>
      <c r="J22" s="163">
        <v>0</v>
      </c>
      <c r="K22" s="180">
        <v>0</v>
      </c>
      <c r="L22" s="204">
        <v>0</v>
      </c>
      <c r="M22" s="218">
        <v>75784.38</v>
      </c>
      <c r="N22" s="163">
        <f>M22</f>
        <v>75784.38</v>
      </c>
      <c r="O22" s="180">
        <v>70214.228069999997</v>
      </c>
      <c r="P22" s="209">
        <v>0</v>
      </c>
      <c r="Q22" s="219">
        <v>162406.81200000001</v>
      </c>
      <c r="R22" s="195">
        <f>Q22</f>
        <v>162406.81200000001</v>
      </c>
      <c r="S22" s="196">
        <v>150469.911318</v>
      </c>
      <c r="T22" s="204">
        <v>0</v>
      </c>
      <c r="U22" s="207">
        <v>193784.36000000002</v>
      </c>
      <c r="V22" s="163">
        <f>U22</f>
        <v>193784.36000000002</v>
      </c>
      <c r="W22" s="180">
        <v>167175.24309500004</v>
      </c>
      <c r="X22" s="209">
        <v>0</v>
      </c>
      <c r="Y22" s="207">
        <v>200000</v>
      </c>
      <c r="Z22" s="163">
        <v>321415.27</v>
      </c>
      <c r="AA22" s="180">
        <v>274257.86271999998</v>
      </c>
      <c r="AB22" s="209">
        <v>0</v>
      </c>
      <c r="AC22" s="207">
        <v>233441.91</v>
      </c>
      <c r="AD22" s="163">
        <f>AC22</f>
        <v>233441.91</v>
      </c>
      <c r="AE22" s="180">
        <v>210961.45574792271</v>
      </c>
      <c r="AF22" s="209">
        <v>0</v>
      </c>
      <c r="AG22" s="207">
        <v>300000</v>
      </c>
      <c r="AH22" s="160">
        <v>494878.61999999994</v>
      </c>
      <c r="AI22" s="209">
        <v>441952.44032999995</v>
      </c>
      <c r="AJ22" s="209">
        <v>0</v>
      </c>
      <c r="AK22" s="207">
        <v>170000</v>
      </c>
      <c r="AL22" s="163">
        <v>260410.21</v>
      </c>
      <c r="AM22" s="209">
        <v>234238.98389500001</v>
      </c>
      <c r="AN22" s="209">
        <v>0</v>
      </c>
      <c r="AO22" s="207">
        <v>150000</v>
      </c>
      <c r="AP22" s="160">
        <v>24804.57</v>
      </c>
      <c r="AQ22" s="179">
        <v>22311.710715000001</v>
      </c>
      <c r="AR22" s="211">
        <v>0</v>
      </c>
      <c r="AS22" s="207">
        <v>50000</v>
      </c>
      <c r="AT22" s="160">
        <v>73645.81</v>
      </c>
      <c r="AU22" s="180">
        <v>66244.406094999998</v>
      </c>
      <c r="AV22" s="209">
        <v>0</v>
      </c>
      <c r="AW22" s="207">
        <v>24985.030577700003</v>
      </c>
      <c r="AX22" s="207">
        <v>24985.030577700003</v>
      </c>
      <c r="AY22" s="180">
        <v>22997.065729067501</v>
      </c>
      <c r="AZ22" s="209">
        <v>0</v>
      </c>
      <c r="BA22" s="257">
        <f t="shared" si="0"/>
        <v>1865556.9725776999</v>
      </c>
    </row>
    <row r="23" spans="1:54 16375:16376" s="146" customFormat="1" ht="23.25" customHeight="1">
      <c r="A23" s="169">
        <v>185</v>
      </c>
      <c r="B23" s="229" t="s">
        <v>229</v>
      </c>
      <c r="C23" s="230" t="s">
        <v>218</v>
      </c>
      <c r="D23" s="224" t="s">
        <v>223</v>
      </c>
      <c r="E23" s="218">
        <v>181250</v>
      </c>
      <c r="F23" s="163">
        <v>163670.23000000001</v>
      </c>
      <c r="G23" s="176">
        <v>151640.45809500001</v>
      </c>
      <c r="H23" s="214">
        <v>0</v>
      </c>
      <c r="I23" s="298" t="s">
        <v>233</v>
      </c>
      <c r="J23" s="299"/>
      <c r="K23" s="300" t="s">
        <v>233</v>
      </c>
      <c r="L23" s="301"/>
      <c r="M23" s="298" t="s">
        <v>233</v>
      </c>
      <c r="N23" s="299"/>
      <c r="O23" s="300" t="s">
        <v>233</v>
      </c>
      <c r="P23" s="301"/>
      <c r="Q23" s="298" t="s">
        <v>233</v>
      </c>
      <c r="R23" s="299"/>
      <c r="S23" s="300" t="s">
        <v>233</v>
      </c>
      <c r="T23" s="301"/>
      <c r="U23" s="298" t="s">
        <v>233</v>
      </c>
      <c r="V23" s="299"/>
      <c r="W23" s="300" t="s">
        <v>233</v>
      </c>
      <c r="X23" s="301"/>
      <c r="Y23" s="298" t="s">
        <v>233</v>
      </c>
      <c r="Z23" s="299"/>
      <c r="AA23" s="300" t="s">
        <v>233</v>
      </c>
      <c r="AB23" s="301"/>
      <c r="AC23" s="298" t="s">
        <v>233</v>
      </c>
      <c r="AD23" s="299"/>
      <c r="AE23" s="300" t="s">
        <v>233</v>
      </c>
      <c r="AF23" s="301"/>
      <c r="AG23" s="298" t="s">
        <v>233</v>
      </c>
      <c r="AH23" s="299"/>
      <c r="AI23" s="300" t="s">
        <v>233</v>
      </c>
      <c r="AJ23" s="301"/>
      <c r="AK23" s="298" t="s">
        <v>233</v>
      </c>
      <c r="AL23" s="299"/>
      <c r="AM23" s="300" t="s">
        <v>233</v>
      </c>
      <c r="AN23" s="301"/>
      <c r="AO23" s="298" t="s">
        <v>233</v>
      </c>
      <c r="AP23" s="299"/>
      <c r="AQ23" s="300" t="s">
        <v>233</v>
      </c>
      <c r="AR23" s="301"/>
      <c r="AS23" s="298" t="s">
        <v>233</v>
      </c>
      <c r="AT23" s="299"/>
      <c r="AU23" s="300" t="s">
        <v>233</v>
      </c>
      <c r="AV23" s="301"/>
      <c r="AW23" s="298" t="s">
        <v>233</v>
      </c>
      <c r="AX23" s="299"/>
      <c r="AY23" s="300" t="s">
        <v>233</v>
      </c>
      <c r="AZ23" s="301"/>
      <c r="BA23" s="257">
        <f t="shared" si="0"/>
        <v>163670.23000000001</v>
      </c>
    </row>
    <row r="24" spans="1:54 16375:16376" s="146" customFormat="1" ht="23.25" customHeight="1">
      <c r="A24" s="169">
        <v>192</v>
      </c>
      <c r="B24" s="229" t="s">
        <v>259</v>
      </c>
      <c r="C24" s="231" t="s">
        <v>219</v>
      </c>
      <c r="D24" s="224" t="s">
        <v>223</v>
      </c>
      <c r="E24" s="218">
        <v>0</v>
      </c>
      <c r="F24" s="163">
        <v>0</v>
      </c>
      <c r="G24" s="176">
        <v>0</v>
      </c>
      <c r="H24" s="214">
        <v>0</v>
      </c>
      <c r="I24" s="207">
        <v>0</v>
      </c>
      <c r="J24" s="163">
        <v>0</v>
      </c>
      <c r="K24" s="180">
        <v>0</v>
      </c>
      <c r="L24" s="204">
        <v>0</v>
      </c>
      <c r="M24" s="218">
        <v>0</v>
      </c>
      <c r="N24" s="163">
        <v>0</v>
      </c>
      <c r="O24" s="180">
        <v>0</v>
      </c>
      <c r="P24" s="209">
        <v>0</v>
      </c>
      <c r="Q24" s="207">
        <v>0</v>
      </c>
      <c r="R24" s="163">
        <v>0</v>
      </c>
      <c r="S24" s="179">
        <v>0</v>
      </c>
      <c r="T24" s="210">
        <v>0</v>
      </c>
      <c r="U24" s="207">
        <v>25000</v>
      </c>
      <c r="V24" s="163">
        <v>25843.38</v>
      </c>
      <c r="W24" s="180">
        <v>22419.132150000001</v>
      </c>
      <c r="X24" s="209">
        <v>0</v>
      </c>
      <c r="Y24" s="207">
        <v>50000</v>
      </c>
      <c r="Z24" s="163">
        <v>101931.53</v>
      </c>
      <c r="AA24" s="180">
        <v>91534.513940000004</v>
      </c>
      <c r="AB24" s="209">
        <v>0</v>
      </c>
      <c r="AC24" s="207">
        <v>120000</v>
      </c>
      <c r="AD24" s="163">
        <v>143260.32999999999</v>
      </c>
      <c r="AE24" s="180">
        <v>128647.78</v>
      </c>
      <c r="AF24" s="209">
        <v>0</v>
      </c>
      <c r="AG24" s="207">
        <v>267000</v>
      </c>
      <c r="AH24" s="163">
        <v>284714.77</v>
      </c>
      <c r="AI24" s="209">
        <v>255673.86346000002</v>
      </c>
      <c r="AJ24" s="209">
        <v>0</v>
      </c>
      <c r="AK24" s="207">
        <v>300000</v>
      </c>
      <c r="AL24" s="163">
        <v>458325.24</v>
      </c>
      <c r="AM24" s="209">
        <v>411576.06552</v>
      </c>
      <c r="AN24" s="209">
        <v>0</v>
      </c>
      <c r="AO24" s="207">
        <v>400000</v>
      </c>
      <c r="AP24" s="207">
        <v>177242.45</v>
      </c>
      <c r="AQ24" s="207">
        <v>159163.72010000001</v>
      </c>
      <c r="AR24" s="207">
        <v>0</v>
      </c>
      <c r="AS24" s="207">
        <v>320000</v>
      </c>
      <c r="AT24" s="160">
        <v>385357.71</v>
      </c>
      <c r="AU24" s="180">
        <v>346051.22357999999</v>
      </c>
      <c r="AV24" s="209">
        <v>0</v>
      </c>
      <c r="AW24" s="207">
        <v>0</v>
      </c>
      <c r="AX24" s="207">
        <v>0</v>
      </c>
      <c r="AY24" s="180">
        <v>0</v>
      </c>
      <c r="AZ24" s="209">
        <v>0</v>
      </c>
      <c r="BA24" s="257">
        <f t="shared" si="0"/>
        <v>1576675.41</v>
      </c>
      <c r="XEU24" s="169"/>
      <c r="XEV24" s="170"/>
    </row>
    <row r="25" spans="1:54 16375:16376" s="146" customFormat="1" ht="28.5" customHeight="1">
      <c r="A25" s="169">
        <v>196</v>
      </c>
      <c r="B25" s="229" t="s">
        <v>252</v>
      </c>
      <c r="C25" s="230" t="s">
        <v>253</v>
      </c>
      <c r="D25" s="224" t="s">
        <v>223</v>
      </c>
      <c r="E25" s="218">
        <v>0</v>
      </c>
      <c r="F25" s="163">
        <v>0</v>
      </c>
      <c r="G25" s="176">
        <v>0</v>
      </c>
      <c r="H25" s="214">
        <v>0</v>
      </c>
      <c r="I25" s="207">
        <v>0</v>
      </c>
      <c r="J25" s="163">
        <v>0</v>
      </c>
      <c r="K25" s="180">
        <v>0</v>
      </c>
      <c r="L25" s="204">
        <v>0</v>
      </c>
      <c r="M25" s="218">
        <v>0</v>
      </c>
      <c r="N25" s="163">
        <v>0</v>
      </c>
      <c r="O25" s="180">
        <v>0</v>
      </c>
      <c r="P25" s="209">
        <v>0</v>
      </c>
      <c r="Q25" s="207">
        <v>0</v>
      </c>
      <c r="R25" s="163">
        <v>0</v>
      </c>
      <c r="S25" s="179">
        <v>0</v>
      </c>
      <c r="T25" s="210">
        <v>0</v>
      </c>
      <c r="U25" s="207">
        <f>83098.26/2</f>
        <v>41549.129999999997</v>
      </c>
      <c r="V25" s="163">
        <f>83098.26/2</f>
        <v>41549.129999999997</v>
      </c>
      <c r="W25" s="180">
        <v>37872.031994999998</v>
      </c>
      <c r="X25" s="209">
        <v>0</v>
      </c>
      <c r="Y25" s="207">
        <v>30000</v>
      </c>
      <c r="Z25" s="163">
        <v>48928.1</v>
      </c>
      <c r="AA25" s="180">
        <v>44597.963149999996</v>
      </c>
      <c r="AB25" s="209">
        <v>0</v>
      </c>
      <c r="AC25" s="297" t="s">
        <v>233</v>
      </c>
      <c r="AD25" s="295"/>
      <c r="AE25" s="295" t="s">
        <v>233</v>
      </c>
      <c r="AF25" s="296"/>
      <c r="AG25" s="297" t="s">
        <v>233</v>
      </c>
      <c r="AH25" s="295"/>
      <c r="AI25" s="295" t="s">
        <v>233</v>
      </c>
      <c r="AJ25" s="296"/>
      <c r="AK25" s="297" t="s">
        <v>233</v>
      </c>
      <c r="AL25" s="295"/>
      <c r="AM25" s="295" t="s">
        <v>233</v>
      </c>
      <c r="AN25" s="296"/>
      <c r="AO25" s="297" t="s">
        <v>233</v>
      </c>
      <c r="AP25" s="295"/>
      <c r="AQ25" s="295" t="s">
        <v>233</v>
      </c>
      <c r="AR25" s="296"/>
      <c r="AS25" s="297" t="s">
        <v>233</v>
      </c>
      <c r="AT25" s="295"/>
      <c r="AU25" s="295" t="s">
        <v>233</v>
      </c>
      <c r="AV25" s="296"/>
      <c r="AW25" s="297" t="s">
        <v>233</v>
      </c>
      <c r="AX25" s="295"/>
      <c r="AY25" s="295" t="s">
        <v>233</v>
      </c>
      <c r="AZ25" s="296"/>
      <c r="BA25" s="257">
        <f t="shared" si="0"/>
        <v>90477.23</v>
      </c>
    </row>
    <row r="26" spans="1:54 16375:16376" s="146" customFormat="1" ht="28.5" customHeight="1">
      <c r="A26" s="169">
        <v>199</v>
      </c>
      <c r="B26" s="229" t="s">
        <v>254</v>
      </c>
      <c r="C26" s="230" t="s">
        <v>255</v>
      </c>
      <c r="D26" s="224" t="s">
        <v>223</v>
      </c>
      <c r="E26" s="218">
        <v>0</v>
      </c>
      <c r="F26" s="163">
        <v>0</v>
      </c>
      <c r="G26" s="176">
        <v>0</v>
      </c>
      <c r="H26" s="214">
        <v>0</v>
      </c>
      <c r="I26" s="207">
        <v>0</v>
      </c>
      <c r="J26" s="163">
        <v>0</v>
      </c>
      <c r="K26" s="180">
        <v>0</v>
      </c>
      <c r="L26" s="204">
        <v>0</v>
      </c>
      <c r="M26" s="218">
        <v>0</v>
      </c>
      <c r="N26" s="163">
        <v>0</v>
      </c>
      <c r="O26" s="180">
        <v>0</v>
      </c>
      <c r="P26" s="209">
        <v>0</v>
      </c>
      <c r="Q26" s="207">
        <v>0</v>
      </c>
      <c r="R26" s="163">
        <v>0</v>
      </c>
      <c r="S26" s="179">
        <v>0</v>
      </c>
      <c r="T26" s="210">
        <v>0</v>
      </c>
      <c r="U26" s="207">
        <v>0</v>
      </c>
      <c r="V26" s="163">
        <v>0</v>
      </c>
      <c r="W26" s="180">
        <v>0</v>
      </c>
      <c r="X26" s="209">
        <v>0</v>
      </c>
      <c r="Y26" s="207">
        <v>32599.55</v>
      </c>
      <c r="Z26" s="163">
        <f>Y26</f>
        <v>32599.55</v>
      </c>
      <c r="AA26" s="180">
        <v>30203.483075</v>
      </c>
      <c r="AB26" s="209">
        <v>0</v>
      </c>
      <c r="AC26" s="207">
        <v>32599.55</v>
      </c>
      <c r="AD26" s="163">
        <v>32599.55</v>
      </c>
      <c r="AE26" s="179">
        <v>30284.98</v>
      </c>
      <c r="AF26" s="211">
        <v>0</v>
      </c>
      <c r="AG26" s="297" t="s">
        <v>233</v>
      </c>
      <c r="AH26" s="295"/>
      <c r="AI26" s="295" t="s">
        <v>233</v>
      </c>
      <c r="AJ26" s="296"/>
      <c r="AK26" s="297" t="s">
        <v>233</v>
      </c>
      <c r="AL26" s="295"/>
      <c r="AM26" s="295" t="s">
        <v>233</v>
      </c>
      <c r="AN26" s="296"/>
      <c r="AO26" s="297" t="s">
        <v>233</v>
      </c>
      <c r="AP26" s="295"/>
      <c r="AQ26" s="295" t="s">
        <v>233</v>
      </c>
      <c r="AR26" s="296"/>
      <c r="AS26" s="297" t="s">
        <v>233</v>
      </c>
      <c r="AT26" s="295"/>
      <c r="AU26" s="295" t="s">
        <v>233</v>
      </c>
      <c r="AV26" s="296"/>
      <c r="AW26" s="297" t="s">
        <v>233</v>
      </c>
      <c r="AX26" s="295"/>
      <c r="AY26" s="295" t="s">
        <v>233</v>
      </c>
      <c r="AZ26" s="296"/>
      <c r="BA26" s="257">
        <f t="shared" si="0"/>
        <v>65199.1</v>
      </c>
    </row>
    <row r="27" spans="1:54 16375:16376" s="146" customFormat="1" ht="28.5" customHeight="1">
      <c r="A27" s="169">
        <v>202</v>
      </c>
      <c r="B27" s="229" t="s">
        <v>262</v>
      </c>
      <c r="C27" s="230" t="s">
        <v>219</v>
      </c>
      <c r="D27" s="224" t="s">
        <v>223</v>
      </c>
      <c r="E27" s="218">
        <v>0</v>
      </c>
      <c r="F27" s="163">
        <v>0</v>
      </c>
      <c r="G27" s="176">
        <v>0</v>
      </c>
      <c r="H27" s="214">
        <v>0</v>
      </c>
      <c r="I27" s="207">
        <v>0</v>
      </c>
      <c r="J27" s="163">
        <v>0</v>
      </c>
      <c r="K27" s="180">
        <v>0</v>
      </c>
      <c r="L27" s="204">
        <v>0</v>
      </c>
      <c r="M27" s="218">
        <v>0</v>
      </c>
      <c r="N27" s="163">
        <v>0</v>
      </c>
      <c r="O27" s="180">
        <v>0</v>
      </c>
      <c r="P27" s="209">
        <v>0</v>
      </c>
      <c r="Q27" s="207">
        <v>0</v>
      </c>
      <c r="R27" s="163">
        <v>0</v>
      </c>
      <c r="S27" s="179">
        <v>0</v>
      </c>
      <c r="T27" s="210">
        <v>0</v>
      </c>
      <c r="U27" s="207">
        <v>0</v>
      </c>
      <c r="V27" s="163">
        <v>0</v>
      </c>
      <c r="W27" s="180">
        <v>0</v>
      </c>
      <c r="X27" s="209">
        <v>0</v>
      </c>
      <c r="Y27" s="207">
        <v>0</v>
      </c>
      <c r="Z27" s="163">
        <v>0</v>
      </c>
      <c r="AA27" s="180">
        <v>0</v>
      </c>
      <c r="AB27" s="209">
        <v>0</v>
      </c>
      <c r="AC27" s="207">
        <v>0</v>
      </c>
      <c r="AD27" s="163">
        <v>0</v>
      </c>
      <c r="AE27" s="179">
        <v>0</v>
      </c>
      <c r="AF27" s="211">
        <v>0</v>
      </c>
      <c r="AG27" s="207">
        <f>23612.89+300000+184275.21</f>
        <v>507888.1</v>
      </c>
      <c r="AH27" s="163">
        <f>24364.61+23612.89+484426.88</f>
        <v>532404.38</v>
      </c>
      <c r="AI27" s="209">
        <f>21148.48+20495.99+420482.53</f>
        <v>462127</v>
      </c>
      <c r="AJ27" s="209">
        <v>0</v>
      </c>
      <c r="AK27" s="207">
        <v>255000</v>
      </c>
      <c r="AL27" s="163">
        <v>284418.21999999997</v>
      </c>
      <c r="AM27" s="180">
        <v>246875.01495999997</v>
      </c>
      <c r="AN27" s="209">
        <v>0</v>
      </c>
      <c r="AO27" s="207">
        <v>315000</v>
      </c>
      <c r="AP27" s="160">
        <v>330215.12</v>
      </c>
      <c r="AQ27" s="180">
        <v>0</v>
      </c>
      <c r="AR27" s="209">
        <v>0</v>
      </c>
      <c r="AS27" s="207">
        <v>270000</v>
      </c>
      <c r="AT27" s="160">
        <v>94644.53</v>
      </c>
      <c r="AU27" s="180">
        <v>0</v>
      </c>
      <c r="AV27" s="209">
        <v>0</v>
      </c>
      <c r="AW27" s="207">
        <v>158300.35999999999</v>
      </c>
      <c r="AX27" s="207">
        <v>158300.35999999999</v>
      </c>
      <c r="AY27" s="180">
        <v>135030.20707999999</v>
      </c>
      <c r="AZ27" s="209">
        <v>0</v>
      </c>
      <c r="BA27" s="257">
        <f t="shared" si="0"/>
        <v>1399982.6099999999</v>
      </c>
      <c r="BB27" s="202"/>
    </row>
    <row r="28" spans="1:54 16375:16376" s="146" customFormat="1" ht="28.5" customHeight="1">
      <c r="A28" s="169">
        <v>208</v>
      </c>
      <c r="B28" s="229" t="s">
        <v>283</v>
      </c>
      <c r="C28" s="230" t="s">
        <v>215</v>
      </c>
      <c r="D28" s="224" t="s">
        <v>231</v>
      </c>
      <c r="E28" s="218">
        <v>0</v>
      </c>
      <c r="F28" s="163">
        <v>0</v>
      </c>
      <c r="G28" s="176">
        <v>0</v>
      </c>
      <c r="H28" s="214">
        <v>0</v>
      </c>
      <c r="I28" s="207">
        <v>0</v>
      </c>
      <c r="J28" s="163">
        <v>0</v>
      </c>
      <c r="K28" s="180">
        <v>0</v>
      </c>
      <c r="L28" s="204">
        <v>0</v>
      </c>
      <c r="M28" s="218">
        <v>0</v>
      </c>
      <c r="N28" s="163">
        <v>0</v>
      </c>
      <c r="O28" s="180">
        <v>0</v>
      </c>
      <c r="P28" s="209">
        <v>0</v>
      </c>
      <c r="Q28" s="207">
        <v>0</v>
      </c>
      <c r="R28" s="163">
        <v>0</v>
      </c>
      <c r="S28" s="179">
        <v>0</v>
      </c>
      <c r="T28" s="210">
        <v>0</v>
      </c>
      <c r="U28" s="207">
        <v>0</v>
      </c>
      <c r="V28" s="163">
        <v>0</v>
      </c>
      <c r="W28" s="180">
        <v>0</v>
      </c>
      <c r="X28" s="209">
        <v>0</v>
      </c>
      <c r="Y28" s="207">
        <v>0</v>
      </c>
      <c r="Z28" s="163">
        <v>0</v>
      </c>
      <c r="AA28" s="180">
        <v>0</v>
      </c>
      <c r="AB28" s="209">
        <v>0</v>
      </c>
      <c r="AC28" s="207">
        <v>0</v>
      </c>
      <c r="AD28" s="163">
        <v>0</v>
      </c>
      <c r="AE28" s="179">
        <v>0</v>
      </c>
      <c r="AF28" s="211">
        <v>0</v>
      </c>
      <c r="AG28" s="207">
        <v>0</v>
      </c>
      <c r="AH28" s="163">
        <v>0</v>
      </c>
      <c r="AI28" s="209">
        <v>0</v>
      </c>
      <c r="AJ28" s="209">
        <v>0</v>
      </c>
      <c r="AK28" s="207">
        <v>0</v>
      </c>
      <c r="AL28" s="163">
        <v>0</v>
      </c>
      <c r="AM28" s="180">
        <v>0</v>
      </c>
      <c r="AN28" s="209">
        <v>0</v>
      </c>
      <c r="AO28" s="207">
        <v>0</v>
      </c>
      <c r="AP28" s="160">
        <v>0</v>
      </c>
      <c r="AQ28" s="180">
        <v>0</v>
      </c>
      <c r="AR28" s="209">
        <v>0</v>
      </c>
      <c r="AS28" s="207">
        <v>170000</v>
      </c>
      <c r="AT28" s="160">
        <v>660882.41999999993</v>
      </c>
      <c r="AU28" s="180">
        <v>627973.36969333328</v>
      </c>
      <c r="AV28" s="209">
        <v>0</v>
      </c>
      <c r="AW28" s="207">
        <v>1600000</v>
      </c>
      <c r="AX28" s="207">
        <f>1626153.13+22132.3</f>
        <v>1648285.43</v>
      </c>
      <c r="AY28" s="180">
        <f>1487451.82211+20244.54</f>
        <v>1507696.3621100001</v>
      </c>
      <c r="AZ28" s="209">
        <v>0</v>
      </c>
      <c r="BA28" s="257">
        <f t="shared" si="0"/>
        <v>2309167.8499999996</v>
      </c>
      <c r="BB28" s="202"/>
    </row>
    <row r="29" spans="1:54 16375:16376" s="146" customFormat="1" ht="28.5" customHeight="1">
      <c r="A29" s="169">
        <v>205</v>
      </c>
      <c r="B29" s="229" t="s">
        <v>263</v>
      </c>
      <c r="C29" s="230" t="s">
        <v>219</v>
      </c>
      <c r="D29" s="224" t="s">
        <v>223</v>
      </c>
      <c r="E29" s="218">
        <v>0</v>
      </c>
      <c r="F29" s="163">
        <v>0</v>
      </c>
      <c r="G29" s="176">
        <v>0</v>
      </c>
      <c r="H29" s="214">
        <v>0</v>
      </c>
      <c r="I29" s="207">
        <v>0</v>
      </c>
      <c r="J29" s="163">
        <v>0</v>
      </c>
      <c r="K29" s="180">
        <v>0</v>
      </c>
      <c r="L29" s="204">
        <v>0</v>
      </c>
      <c r="M29" s="218">
        <v>0</v>
      </c>
      <c r="N29" s="163">
        <v>0</v>
      </c>
      <c r="O29" s="180">
        <v>0</v>
      </c>
      <c r="P29" s="209">
        <v>0</v>
      </c>
      <c r="Q29" s="207">
        <v>0</v>
      </c>
      <c r="R29" s="163">
        <v>0</v>
      </c>
      <c r="S29" s="179">
        <v>0</v>
      </c>
      <c r="T29" s="210">
        <v>0</v>
      </c>
      <c r="U29" s="207">
        <v>0</v>
      </c>
      <c r="V29" s="163">
        <v>0</v>
      </c>
      <c r="W29" s="180">
        <v>0</v>
      </c>
      <c r="X29" s="209">
        <v>0</v>
      </c>
      <c r="Y29" s="207">
        <v>0</v>
      </c>
      <c r="Z29" s="163">
        <v>0</v>
      </c>
      <c r="AA29" s="180">
        <v>0</v>
      </c>
      <c r="AB29" s="209">
        <v>0</v>
      </c>
      <c r="AC29" s="207">
        <v>0</v>
      </c>
      <c r="AD29" s="163">
        <v>0</v>
      </c>
      <c r="AE29" s="179">
        <v>0</v>
      </c>
      <c r="AF29" s="211">
        <v>0</v>
      </c>
      <c r="AG29" s="207">
        <v>130000</v>
      </c>
      <c r="AH29" s="163">
        <v>130000</v>
      </c>
      <c r="AI29" s="180">
        <f>64855+55590</f>
        <v>120445</v>
      </c>
      <c r="AJ29" s="209">
        <v>0</v>
      </c>
      <c r="AK29" s="207">
        <v>276023.18</v>
      </c>
      <c r="AL29" s="163">
        <v>276023.18</v>
      </c>
      <c r="AM29" s="180">
        <v>255735.47626999998</v>
      </c>
      <c r="AN29" s="209"/>
      <c r="AO29" s="207">
        <v>100000</v>
      </c>
      <c r="AP29" s="163">
        <v>112391</v>
      </c>
      <c r="AQ29" s="180">
        <v>104130.26149999999</v>
      </c>
      <c r="AR29" s="209">
        <v>0</v>
      </c>
      <c r="AS29" s="297" t="s">
        <v>233</v>
      </c>
      <c r="AT29" s="295"/>
      <c r="AU29" s="295" t="s">
        <v>233</v>
      </c>
      <c r="AV29" s="296"/>
      <c r="AW29" s="297" t="s">
        <v>233</v>
      </c>
      <c r="AX29" s="295"/>
      <c r="AY29" s="295" t="s">
        <v>233</v>
      </c>
      <c r="AZ29" s="296"/>
      <c r="BA29" s="257">
        <f t="shared" si="0"/>
        <v>518414.18</v>
      </c>
      <c r="BB29" s="202"/>
    </row>
    <row r="30" spans="1:54 16375:16376" s="146" customFormat="1" ht="28.5" customHeight="1">
      <c r="A30" s="169">
        <v>207</v>
      </c>
      <c r="B30" s="229" t="s">
        <v>281</v>
      </c>
      <c r="C30" s="230" t="s">
        <v>219</v>
      </c>
      <c r="D30" s="224" t="s">
        <v>223</v>
      </c>
      <c r="E30" s="218">
        <v>0</v>
      </c>
      <c r="F30" s="163">
        <v>0</v>
      </c>
      <c r="G30" s="176">
        <v>0</v>
      </c>
      <c r="H30" s="214">
        <v>0</v>
      </c>
      <c r="I30" s="207">
        <v>0</v>
      </c>
      <c r="J30" s="163">
        <v>0</v>
      </c>
      <c r="K30" s="180">
        <v>0</v>
      </c>
      <c r="L30" s="204">
        <v>0</v>
      </c>
      <c r="M30" s="218">
        <v>0</v>
      </c>
      <c r="N30" s="163">
        <v>0</v>
      </c>
      <c r="O30" s="180">
        <v>0</v>
      </c>
      <c r="P30" s="209">
        <v>0</v>
      </c>
      <c r="Q30" s="207">
        <v>0</v>
      </c>
      <c r="R30" s="163">
        <v>0</v>
      </c>
      <c r="S30" s="179">
        <v>0</v>
      </c>
      <c r="T30" s="210">
        <v>0</v>
      </c>
      <c r="U30" s="207">
        <v>0</v>
      </c>
      <c r="V30" s="163">
        <v>0</v>
      </c>
      <c r="W30" s="180">
        <v>0</v>
      </c>
      <c r="X30" s="209">
        <v>0</v>
      </c>
      <c r="Y30" s="207">
        <v>0</v>
      </c>
      <c r="Z30" s="163">
        <v>0</v>
      </c>
      <c r="AA30" s="180">
        <v>0</v>
      </c>
      <c r="AB30" s="209">
        <v>0</v>
      </c>
      <c r="AC30" s="207">
        <v>0</v>
      </c>
      <c r="AD30" s="163">
        <v>0</v>
      </c>
      <c r="AE30" s="179">
        <v>0</v>
      </c>
      <c r="AF30" s="211">
        <v>0</v>
      </c>
      <c r="AG30" s="207">
        <v>0</v>
      </c>
      <c r="AH30" s="163">
        <v>0</v>
      </c>
      <c r="AI30" s="209">
        <v>0</v>
      </c>
      <c r="AJ30" s="209">
        <v>0</v>
      </c>
      <c r="AK30" s="207">
        <v>0</v>
      </c>
      <c r="AL30" s="163">
        <v>48341.279999999999</v>
      </c>
      <c r="AM30" s="180">
        <v>44788.195919999998</v>
      </c>
      <c r="AN30" s="209"/>
      <c r="AO30" s="297" t="s">
        <v>233</v>
      </c>
      <c r="AP30" s="295"/>
      <c r="AQ30" s="295" t="s">
        <v>233</v>
      </c>
      <c r="AR30" s="296"/>
      <c r="AS30" s="297" t="s">
        <v>233</v>
      </c>
      <c r="AT30" s="295"/>
      <c r="AU30" s="295" t="s">
        <v>233</v>
      </c>
      <c r="AV30" s="296"/>
      <c r="AW30" s="297" t="s">
        <v>233</v>
      </c>
      <c r="AX30" s="295"/>
      <c r="AY30" s="295" t="s">
        <v>233</v>
      </c>
      <c r="AZ30" s="296"/>
      <c r="BA30" s="257">
        <f t="shared" si="0"/>
        <v>48341.279999999999</v>
      </c>
      <c r="BB30" s="202"/>
    </row>
    <row r="31" spans="1:54 16375:16376" s="146" customFormat="1" ht="28.5" customHeight="1" thickBot="1">
      <c r="A31" s="168">
        <v>210</v>
      </c>
      <c r="B31" s="185" t="s">
        <v>293</v>
      </c>
      <c r="C31" s="230" t="s">
        <v>217</v>
      </c>
      <c r="D31" s="255"/>
      <c r="E31" s="218">
        <v>0</v>
      </c>
      <c r="F31" s="163">
        <v>0</v>
      </c>
      <c r="G31" s="176">
        <v>0</v>
      </c>
      <c r="H31" s="214">
        <v>0</v>
      </c>
      <c r="I31" s="207">
        <v>0</v>
      </c>
      <c r="J31" s="163">
        <v>0</v>
      </c>
      <c r="K31" s="180">
        <v>0</v>
      </c>
      <c r="L31" s="204">
        <v>0</v>
      </c>
      <c r="M31" s="218">
        <v>0</v>
      </c>
      <c r="N31" s="163">
        <v>0</v>
      </c>
      <c r="O31" s="180">
        <v>0</v>
      </c>
      <c r="P31" s="209">
        <v>0</v>
      </c>
      <c r="Q31" s="207">
        <v>0</v>
      </c>
      <c r="R31" s="163">
        <v>0</v>
      </c>
      <c r="S31" s="179">
        <v>0</v>
      </c>
      <c r="T31" s="210">
        <v>0</v>
      </c>
      <c r="U31" s="235">
        <v>0</v>
      </c>
      <c r="V31" s="164">
        <v>0</v>
      </c>
      <c r="W31" s="177">
        <v>0</v>
      </c>
      <c r="X31" s="215">
        <v>0</v>
      </c>
      <c r="Y31" s="207">
        <v>0</v>
      </c>
      <c r="Z31" s="163">
        <v>0</v>
      </c>
      <c r="AA31" s="180">
        <v>0</v>
      </c>
      <c r="AB31" s="209">
        <v>0</v>
      </c>
      <c r="AC31" s="207">
        <v>0</v>
      </c>
      <c r="AD31" s="163">
        <v>0</v>
      </c>
      <c r="AE31" s="179">
        <v>0</v>
      </c>
      <c r="AF31" s="211">
        <v>0</v>
      </c>
      <c r="AG31" s="207">
        <v>0</v>
      </c>
      <c r="AH31" s="163">
        <v>0</v>
      </c>
      <c r="AI31" s="177">
        <v>0</v>
      </c>
      <c r="AJ31" s="215">
        <v>0</v>
      </c>
      <c r="AK31" s="235">
        <v>0</v>
      </c>
      <c r="AL31" s="164">
        <v>0</v>
      </c>
      <c r="AM31" s="180">
        <v>0</v>
      </c>
      <c r="AN31" s="209">
        <v>0</v>
      </c>
      <c r="AO31" s="235">
        <v>0</v>
      </c>
      <c r="AP31" s="164">
        <v>130323.48</v>
      </c>
      <c r="AQ31" s="177">
        <v>120744.70422</v>
      </c>
      <c r="AR31" s="215">
        <v>0</v>
      </c>
      <c r="AS31" s="235">
        <v>0</v>
      </c>
      <c r="AT31" s="160">
        <v>0</v>
      </c>
      <c r="AU31" s="180">
        <v>0</v>
      </c>
      <c r="AV31" s="209">
        <v>0</v>
      </c>
      <c r="AW31" s="235">
        <v>194420.22</v>
      </c>
      <c r="AX31" s="207">
        <v>194420.22</v>
      </c>
      <c r="AY31" s="180">
        <v>180130.33382999999</v>
      </c>
      <c r="AZ31" s="209">
        <v>0</v>
      </c>
      <c r="BA31" s="258">
        <f t="shared" si="0"/>
        <v>324743.7</v>
      </c>
      <c r="BB31" s="202"/>
    </row>
    <row r="32" spans="1:54 16375:16376" s="147" customFormat="1" ht="25.5" customHeight="1" thickBot="1">
      <c r="A32" s="152" t="s">
        <v>121</v>
      </c>
      <c r="B32" s="152"/>
      <c r="C32" s="153"/>
      <c r="D32" s="153"/>
      <c r="E32" s="178">
        <f>SUBTOTAL(9,E5:E31)</f>
        <v>2376470.9500000002</v>
      </c>
      <c r="F32" s="178">
        <f t="shared" ref="F32:AZ32" si="1">SUBTOTAL(9,F5:F31)</f>
        <v>2606222.1800000002</v>
      </c>
      <c r="G32" s="178">
        <f t="shared" si="1"/>
        <v>2294425.6837977949</v>
      </c>
      <c r="H32" s="178">
        <f t="shared" si="1"/>
        <v>0</v>
      </c>
      <c r="I32" s="178">
        <f t="shared" si="1"/>
        <v>3060200.42</v>
      </c>
      <c r="J32" s="178">
        <f t="shared" si="1"/>
        <v>2957357.8640999999</v>
      </c>
      <c r="K32" s="178">
        <f t="shared" si="1"/>
        <v>2618631.5213773004</v>
      </c>
      <c r="L32" s="178">
        <f t="shared" si="1"/>
        <v>0</v>
      </c>
      <c r="M32" s="178">
        <f t="shared" si="1"/>
        <v>3027227.4130000002</v>
      </c>
      <c r="N32" s="178">
        <f t="shared" si="1"/>
        <v>2755868.443</v>
      </c>
      <c r="O32" s="178">
        <f t="shared" si="1"/>
        <v>2431936.3061045003</v>
      </c>
      <c r="P32" s="178">
        <f t="shared" si="1"/>
        <v>0</v>
      </c>
      <c r="Q32" s="178">
        <f t="shared" si="1"/>
        <v>1970810.4419999998</v>
      </c>
      <c r="R32" s="178">
        <f t="shared" si="1"/>
        <v>2386674.817845</v>
      </c>
      <c r="S32" s="178">
        <f t="shared" si="1"/>
        <v>2113144.446624985</v>
      </c>
      <c r="T32" s="178">
        <f t="shared" si="1"/>
        <v>0</v>
      </c>
      <c r="U32" s="178">
        <f t="shared" si="1"/>
        <v>3218471.03</v>
      </c>
      <c r="V32" s="178">
        <f t="shared" si="1"/>
        <v>4050186.3099999996</v>
      </c>
      <c r="W32" s="178">
        <f t="shared" si="1"/>
        <v>3619082.3618950001</v>
      </c>
      <c r="X32" s="178">
        <f t="shared" si="1"/>
        <v>0</v>
      </c>
      <c r="Y32" s="178">
        <f t="shared" si="1"/>
        <v>5309514.5599999996</v>
      </c>
      <c r="Z32" s="178">
        <f t="shared" si="1"/>
        <v>6261051.3027019985</v>
      </c>
      <c r="AA32" s="178">
        <f t="shared" si="1"/>
        <v>5606164.6950673554</v>
      </c>
      <c r="AB32" s="178">
        <f t="shared" si="1"/>
        <v>0</v>
      </c>
      <c r="AC32" s="178">
        <f t="shared" si="1"/>
        <v>2232581.5099999998</v>
      </c>
      <c r="AD32" s="178">
        <f t="shared" si="1"/>
        <v>2381803.4714001804</v>
      </c>
      <c r="AE32" s="178">
        <f t="shared" si="1"/>
        <v>2070011.842639335</v>
      </c>
      <c r="AF32" s="178">
        <f t="shared" si="1"/>
        <v>0</v>
      </c>
      <c r="AG32" s="178">
        <f t="shared" si="1"/>
        <v>3118327.04</v>
      </c>
      <c r="AH32" s="178">
        <f t="shared" si="1"/>
        <v>3365276.77</v>
      </c>
      <c r="AI32" s="178">
        <f t="shared" si="1"/>
        <v>2985012.7044550003</v>
      </c>
      <c r="AJ32" s="178">
        <f t="shared" si="1"/>
        <v>0</v>
      </c>
      <c r="AK32" s="178">
        <f t="shared" si="1"/>
        <v>3338523.18</v>
      </c>
      <c r="AL32" s="178">
        <f t="shared" si="1"/>
        <v>3587941.0009999992</v>
      </c>
      <c r="AM32" s="178">
        <f t="shared" si="1"/>
        <v>2895422.2370000007</v>
      </c>
      <c r="AN32" s="178">
        <f t="shared" si="1"/>
        <v>290590.13288799999</v>
      </c>
      <c r="AO32" s="178">
        <f t="shared" si="1"/>
        <v>2581500</v>
      </c>
      <c r="AP32" s="178">
        <f t="shared" si="1"/>
        <v>3450671.4763230002</v>
      </c>
      <c r="AQ32" s="178">
        <f t="shared" si="1"/>
        <v>2799026.031346634</v>
      </c>
      <c r="AR32" s="178">
        <f t="shared" si="1"/>
        <v>0</v>
      </c>
      <c r="AS32" s="178">
        <f t="shared" si="1"/>
        <v>2680000</v>
      </c>
      <c r="AT32" s="178">
        <f t="shared" si="1"/>
        <v>3995147.6299999994</v>
      </c>
      <c r="AU32" s="178">
        <f t="shared" si="1"/>
        <v>3556729.0458833328</v>
      </c>
      <c r="AV32" s="178">
        <f t="shared" si="1"/>
        <v>0</v>
      </c>
      <c r="AW32" s="178">
        <f t="shared" si="1"/>
        <v>2611699.1364380103</v>
      </c>
      <c r="AX32" s="178">
        <f t="shared" si="1"/>
        <v>2651715.8472940102</v>
      </c>
      <c r="AY32" s="178">
        <f t="shared" si="1"/>
        <v>2396974.6423206357</v>
      </c>
      <c r="AZ32" s="178">
        <f t="shared" si="1"/>
        <v>0</v>
      </c>
      <c r="BA32" s="178">
        <f>SUM(BA8:BA31)</f>
        <v>37008094.293664195</v>
      </c>
      <c r="BB32" s="203"/>
    </row>
    <row r="33" spans="1:54" s="189" customFormat="1" ht="14.25" customHeight="1">
      <c r="A33" s="186"/>
      <c r="B33" s="187"/>
      <c r="C33" s="186"/>
      <c r="D33" s="186"/>
      <c r="E33" s="188"/>
      <c r="F33" s="188"/>
      <c r="G33" s="188"/>
      <c r="H33" s="188"/>
      <c r="I33" s="188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86"/>
      <c r="BB33" s="189" t="s">
        <v>264</v>
      </c>
    </row>
    <row r="34" spans="1:54" ht="15" customHeight="1">
      <c r="E34" s="182"/>
      <c r="F34" s="182"/>
      <c r="G34" s="182"/>
      <c r="H34" s="182"/>
      <c r="I34" s="182"/>
    </row>
    <row r="35" spans="1:54" s="193" customFormat="1" ht="15" customHeight="1">
      <c r="A35" s="190"/>
      <c r="B35" s="190"/>
      <c r="C35" s="190"/>
      <c r="D35" s="190"/>
      <c r="E35" s="192"/>
      <c r="F35" s="191"/>
      <c r="G35" s="191"/>
      <c r="H35" s="191"/>
      <c r="I35" s="191"/>
      <c r="U35" s="199"/>
      <c r="V35" s="200"/>
      <c r="W35" s="200"/>
      <c r="AC35" s="51"/>
      <c r="AD35" s="51"/>
      <c r="AE35" s="51"/>
      <c r="AF35" s="20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190"/>
    </row>
    <row r="36" spans="1:54" s="193" customFormat="1" ht="15" customHeight="1">
      <c r="A36" s="190"/>
      <c r="B36" s="190"/>
      <c r="C36" s="190"/>
      <c r="D36" s="190"/>
      <c r="E36" s="194"/>
      <c r="F36" s="194"/>
      <c r="G36" s="194"/>
      <c r="H36" s="194"/>
      <c r="I36" s="194"/>
      <c r="X36" s="197"/>
      <c r="Y36" s="198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190"/>
    </row>
    <row r="37" spans="1:54" s="193" customFormat="1" ht="15" customHeight="1">
      <c r="A37" s="190"/>
      <c r="B37" s="190"/>
      <c r="C37" s="190"/>
      <c r="D37" s="190"/>
      <c r="E37" s="194"/>
      <c r="F37" s="194"/>
      <c r="G37" s="194"/>
      <c r="H37" s="194"/>
      <c r="I37" s="194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190"/>
    </row>
    <row r="38" spans="1:54">
      <c r="H38" s="181"/>
    </row>
  </sheetData>
  <sortState xmlns:xlrd2="http://schemas.microsoft.com/office/spreadsheetml/2017/richdata2" ref="A7:D16">
    <sortCondition ref="A6:A16"/>
  </sortState>
  <mergeCells count="191">
    <mergeCell ref="AC18:AD18"/>
    <mergeCell ref="AC6:AD6"/>
    <mergeCell ref="AC7:AD7"/>
    <mergeCell ref="AG15:AH15"/>
    <mergeCell ref="AI13:AJ13"/>
    <mergeCell ref="AI14:AJ14"/>
    <mergeCell ref="AI15:AJ15"/>
    <mergeCell ref="AI19:AJ19"/>
    <mergeCell ref="AE6:AF6"/>
    <mergeCell ref="AE7:AF7"/>
    <mergeCell ref="AG6:AH6"/>
    <mergeCell ref="AG7:AH7"/>
    <mergeCell ref="AG14:AH14"/>
    <mergeCell ref="AI6:AJ6"/>
    <mergeCell ref="AG13:AH13"/>
    <mergeCell ref="AG18:AH18"/>
    <mergeCell ref="S19:T19"/>
    <mergeCell ref="U19:V19"/>
    <mergeCell ref="W19:X19"/>
    <mergeCell ref="Y19:Z19"/>
    <mergeCell ref="AA19:AB19"/>
    <mergeCell ref="A4:A5"/>
    <mergeCell ref="B4:B5"/>
    <mergeCell ref="C4:C5"/>
    <mergeCell ref="D4:D5"/>
    <mergeCell ref="I19:J19"/>
    <mergeCell ref="K19:L19"/>
    <mergeCell ref="M19:N19"/>
    <mergeCell ref="O19:P19"/>
    <mergeCell ref="Q19:R19"/>
    <mergeCell ref="O18:P18"/>
    <mergeCell ref="Q18:R18"/>
    <mergeCell ref="S18:T18"/>
    <mergeCell ref="U18:V18"/>
    <mergeCell ref="Y13:Z13"/>
    <mergeCell ref="Y14:Z14"/>
    <mergeCell ref="M18:N18"/>
    <mergeCell ref="W18:X18"/>
    <mergeCell ref="Y18:Z18"/>
    <mergeCell ref="AA18:AB18"/>
    <mergeCell ref="AK25:AL25"/>
    <mergeCell ref="AK26:AL26"/>
    <mergeCell ref="AO25:AP25"/>
    <mergeCell ref="AO26:AP26"/>
    <mergeCell ref="AC19:AD19"/>
    <mergeCell ref="AG23:AH23"/>
    <mergeCell ref="AG19:AH19"/>
    <mergeCell ref="AI23:AJ23"/>
    <mergeCell ref="AC25:AD25"/>
    <mergeCell ref="AE25:AF25"/>
    <mergeCell ref="AG25:AH25"/>
    <mergeCell ref="AG26:AH26"/>
    <mergeCell ref="AI25:AJ25"/>
    <mergeCell ref="AI26:AJ26"/>
    <mergeCell ref="AC23:AD23"/>
    <mergeCell ref="AE19:AF19"/>
    <mergeCell ref="AK6:AL6"/>
    <mergeCell ref="AK7:AL7"/>
    <mergeCell ref="AM6:AN6"/>
    <mergeCell ref="AM7:AN7"/>
    <mergeCell ref="AE23:AF23"/>
    <mergeCell ref="Y15:Z15"/>
    <mergeCell ref="AA13:AB13"/>
    <mergeCell ref="AA14:AB14"/>
    <mergeCell ref="AC15:AD15"/>
    <mergeCell ref="AA15:AB15"/>
    <mergeCell ref="AI7:AJ7"/>
    <mergeCell ref="AI18:AJ18"/>
    <mergeCell ref="AC13:AD13"/>
    <mergeCell ref="AC14:AD14"/>
    <mergeCell ref="AK10:AL10"/>
    <mergeCell ref="AA23:AB23"/>
    <mergeCell ref="AE13:AF13"/>
    <mergeCell ref="AE14:AF14"/>
    <mergeCell ref="AE15:AF15"/>
    <mergeCell ref="AE18:AF18"/>
    <mergeCell ref="AM13:AN13"/>
    <mergeCell ref="AK14:AL14"/>
    <mergeCell ref="AM14:AN14"/>
    <mergeCell ref="AK15:AL15"/>
    <mergeCell ref="E1:BA1"/>
    <mergeCell ref="I4:L4"/>
    <mergeCell ref="E4:H4"/>
    <mergeCell ref="M4:P4"/>
    <mergeCell ref="Q4:T4"/>
    <mergeCell ref="Y4:AB4"/>
    <mergeCell ref="U4:X4"/>
    <mergeCell ref="AC4:AF4"/>
    <mergeCell ref="AG4:AJ4"/>
    <mergeCell ref="AK4:AN4"/>
    <mergeCell ref="AO10:AP10"/>
    <mergeCell ref="AO9:AP9"/>
    <mergeCell ref="AQ9:AR9"/>
    <mergeCell ref="AQ25:AR25"/>
    <mergeCell ref="AM25:AN25"/>
    <mergeCell ref="AO30:AP30"/>
    <mergeCell ref="AQ30:AR30"/>
    <mergeCell ref="AQ26:AR26"/>
    <mergeCell ref="AK9:AL9"/>
    <mergeCell ref="AM9:AN9"/>
    <mergeCell ref="AM26:AN26"/>
    <mergeCell ref="AK18:AL18"/>
    <mergeCell ref="AK19:AL19"/>
    <mergeCell ref="AM18:AN18"/>
    <mergeCell ref="AM19:AN19"/>
    <mergeCell ref="AO18:AP18"/>
    <mergeCell ref="AO19:AP19"/>
    <mergeCell ref="AQ18:AR18"/>
    <mergeCell ref="AQ19:AR19"/>
    <mergeCell ref="AK23:AL23"/>
    <mergeCell ref="AM23:AN23"/>
    <mergeCell ref="AO23:AP23"/>
    <mergeCell ref="AQ23:AR23"/>
    <mergeCell ref="AK13:AL13"/>
    <mergeCell ref="AS10:AT10"/>
    <mergeCell ref="AW10:AX10"/>
    <mergeCell ref="AO7:AP7"/>
    <mergeCell ref="AQ6:AR6"/>
    <mergeCell ref="AQ7:AR7"/>
    <mergeCell ref="AO4:AR4"/>
    <mergeCell ref="AO6:AP6"/>
    <mergeCell ref="AS30:AT30"/>
    <mergeCell ref="AU30:AV30"/>
    <mergeCell ref="AW30:AX30"/>
    <mergeCell ref="AS4:AV4"/>
    <mergeCell ref="AS6:AT6"/>
    <mergeCell ref="AU6:AV6"/>
    <mergeCell ref="AS7:AT7"/>
    <mergeCell ref="AU7:AV7"/>
    <mergeCell ref="AS9:AT9"/>
    <mergeCell ref="AU9:AV9"/>
    <mergeCell ref="AW4:AZ4"/>
    <mergeCell ref="AW6:AX6"/>
    <mergeCell ref="AY6:AZ6"/>
    <mergeCell ref="AW7:AX7"/>
    <mergeCell ref="AY7:AZ7"/>
    <mergeCell ref="AW9:AX9"/>
    <mergeCell ref="AY9:AZ9"/>
    <mergeCell ref="AS23:AT23"/>
    <mergeCell ref="AU23:AV23"/>
    <mergeCell ref="AY30:AZ30"/>
    <mergeCell ref="AS25:AT25"/>
    <mergeCell ref="AU25:AV25"/>
    <mergeCell ref="AS26:AT26"/>
    <mergeCell ref="AU26:AV26"/>
    <mergeCell ref="AW25:AX25"/>
    <mergeCell ref="AY25:AZ25"/>
    <mergeCell ref="AW26:AX26"/>
    <mergeCell ref="AY26:AZ26"/>
    <mergeCell ref="AS29:AT29"/>
    <mergeCell ref="AU29:AV29"/>
    <mergeCell ref="AW29:AX29"/>
    <mergeCell ref="AY29:AZ29"/>
    <mergeCell ref="AW23:AX23"/>
    <mergeCell ref="AY23:AZ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W13:AX13"/>
    <mergeCell ref="AY13:AZ13"/>
    <mergeCell ref="AW14:AX14"/>
    <mergeCell ref="AY14:AZ14"/>
    <mergeCell ref="AS18:AT18"/>
    <mergeCell ref="AS19:AT19"/>
    <mergeCell ref="AU18:AV18"/>
    <mergeCell ref="AU19:AV19"/>
    <mergeCell ref="AW18:AX18"/>
    <mergeCell ref="AW19:AX19"/>
    <mergeCell ref="AY18:AZ18"/>
    <mergeCell ref="AY19:AZ19"/>
    <mergeCell ref="AW15:AX15"/>
    <mergeCell ref="AY15:AZ15"/>
    <mergeCell ref="AS13:AT13"/>
    <mergeCell ref="AU13:AV13"/>
    <mergeCell ref="AS14:AT14"/>
    <mergeCell ref="AM15:AN15"/>
    <mergeCell ref="AO13:AP13"/>
    <mergeCell ref="AQ13:AR13"/>
    <mergeCell ref="AO14:AP14"/>
    <mergeCell ref="AQ14:AR14"/>
    <mergeCell ref="AO15:AP15"/>
    <mergeCell ref="AQ15:AR15"/>
    <mergeCell ref="AU14:AV14"/>
    <mergeCell ref="AS15:AT15"/>
    <mergeCell ref="AU15:AV15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8" max="4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43" t="s">
        <v>33</v>
      </c>
      <c r="D14" s="343"/>
      <c r="E14" s="343"/>
      <c r="F14" s="343"/>
      <c r="G14" s="343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43" t="s">
        <v>36</v>
      </c>
      <c r="D16" s="343"/>
      <c r="E16" s="343"/>
      <c r="F16" s="343"/>
      <c r="G16" s="343"/>
    </row>
    <row r="31" spans="2:7" ht="30" customHeight="1">
      <c r="B31" s="48" t="s">
        <v>35</v>
      </c>
      <c r="C31" s="343" t="s">
        <v>38</v>
      </c>
      <c r="D31" s="343"/>
      <c r="E31" s="343"/>
      <c r="F31" s="343"/>
      <c r="G31" s="343"/>
    </row>
    <row r="33" spans="2:7">
      <c r="C33" s="341" t="s">
        <v>37</v>
      </c>
      <c r="D33" s="341"/>
      <c r="E33" t="s">
        <v>39</v>
      </c>
    </row>
    <row r="34" spans="2:7">
      <c r="C34" s="341" t="s">
        <v>40</v>
      </c>
      <c r="D34" s="341"/>
      <c r="E34" t="s">
        <v>41</v>
      </c>
    </row>
    <row r="35" spans="2:7">
      <c r="C35" s="341" t="s">
        <v>42</v>
      </c>
      <c r="D35" s="341"/>
      <c r="E35" t="s">
        <v>44</v>
      </c>
    </row>
    <row r="36" spans="2:7">
      <c r="C36" s="341" t="s">
        <v>43</v>
      </c>
      <c r="D36" s="341"/>
      <c r="E36" t="s">
        <v>45</v>
      </c>
    </row>
    <row r="37" spans="2:7">
      <c r="C37" s="49"/>
    </row>
    <row r="38" spans="2:7" ht="30" customHeight="1">
      <c r="C38" s="342" t="s">
        <v>46</v>
      </c>
      <c r="D38" s="342"/>
      <c r="E38" s="51" t="s">
        <v>47</v>
      </c>
    </row>
    <row r="39" spans="2:7">
      <c r="C39" s="49"/>
    </row>
    <row r="40" spans="2:7">
      <c r="B40" s="48" t="s">
        <v>48</v>
      </c>
      <c r="C40" s="343" t="s">
        <v>49</v>
      </c>
      <c r="D40" s="343"/>
      <c r="E40" s="343"/>
      <c r="F40" s="343"/>
      <c r="G40" s="343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43" t="s">
        <v>53</v>
      </c>
      <c r="D42" s="343"/>
      <c r="E42" s="343"/>
      <c r="F42" s="343"/>
      <c r="G42" s="343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43" t="s">
        <v>54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43" t="s">
        <v>88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43" t="s">
        <v>55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43" t="s">
        <v>56</v>
      </c>
      <c r="D21" s="343"/>
      <c r="E21" s="343"/>
      <c r="F21" s="343"/>
      <c r="G21" s="343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43" t="s">
        <v>78</v>
      </c>
      <c r="D23" s="343"/>
      <c r="E23" s="343"/>
      <c r="F23" s="343"/>
      <c r="G23" s="343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43" t="s">
        <v>81</v>
      </c>
      <c r="D34" s="343"/>
      <c r="E34" s="343"/>
      <c r="F34" s="343"/>
      <c r="G34" s="343"/>
    </row>
    <row r="36" spans="2:7">
      <c r="B36" s="48" t="s">
        <v>86</v>
      </c>
      <c r="C36" s="343" t="s">
        <v>82</v>
      </c>
      <c r="D36" s="343"/>
      <c r="E36" s="343"/>
      <c r="F36" s="343"/>
      <c r="G36" s="343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43" t="s">
        <v>92</v>
      </c>
      <c r="D47" s="343"/>
      <c r="E47" s="343"/>
      <c r="F47" s="343"/>
      <c r="G47" s="343"/>
    </row>
    <row r="48" spans="2:7">
      <c r="C48" s="49" t="s">
        <v>93</v>
      </c>
    </row>
    <row r="49" spans="1:7" s="66" customFormat="1" ht="35.25" customHeight="1">
      <c r="A49" s="49"/>
      <c r="B49" s="49"/>
      <c r="C49" s="343" t="s">
        <v>94</v>
      </c>
      <c r="D49" s="343"/>
      <c r="E49" s="343"/>
      <c r="F49" s="343"/>
      <c r="G49" s="343"/>
    </row>
    <row r="50" spans="1:7" ht="60" customHeight="1">
      <c r="C50" s="343" t="s">
        <v>97</v>
      </c>
      <c r="D50" s="343"/>
      <c r="E50" s="343"/>
      <c r="F50" s="343"/>
      <c r="G50" s="343"/>
    </row>
    <row r="51" spans="1:7">
      <c r="C51" s="49"/>
    </row>
    <row r="52" spans="1:7" ht="30" customHeight="1">
      <c r="B52" s="48" t="s">
        <v>95</v>
      </c>
      <c r="C52" s="343" t="s">
        <v>96</v>
      </c>
      <c r="D52" s="343"/>
      <c r="E52" s="343"/>
      <c r="F52" s="343"/>
      <c r="G52" s="343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15:G15"/>
    <mergeCell ref="C17:G17"/>
    <mergeCell ref="C34:G34"/>
    <mergeCell ref="C47:G47"/>
    <mergeCell ref="C49:G49"/>
    <mergeCell ref="C50:G50"/>
    <mergeCell ref="C52:G52"/>
    <mergeCell ref="C19:G19"/>
    <mergeCell ref="C21:G21"/>
    <mergeCell ref="C23:G23"/>
    <mergeCell ref="C36:G36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43" t="s">
        <v>98</v>
      </c>
      <c r="D14" s="343"/>
      <c r="E14" s="343"/>
      <c r="F14" s="343"/>
      <c r="G14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43" t="s">
        <v>107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43" t="s">
        <v>109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43" t="s">
        <v>108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43" t="s">
        <v>110</v>
      </c>
      <c r="D21" s="343"/>
      <c r="E21" s="343"/>
      <c r="F21" s="343"/>
      <c r="G21" s="343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43" t="s">
        <v>111</v>
      </c>
      <c r="D14" s="343"/>
      <c r="E14" s="343"/>
      <c r="F14" s="343"/>
      <c r="G14" s="343"/>
    </row>
    <row r="27" spans="2:7" ht="30" customHeight="1">
      <c r="B27" s="48" t="s">
        <v>34</v>
      </c>
      <c r="C27" s="343" t="s">
        <v>112</v>
      </c>
      <c r="D27" s="343"/>
      <c r="E27" s="343"/>
      <c r="F27" s="343"/>
      <c r="G27" s="343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43" t="s">
        <v>113</v>
      </c>
      <c r="D29" s="343"/>
      <c r="E29" s="343"/>
      <c r="F29" s="343"/>
      <c r="G29" s="343"/>
    </row>
    <row r="43" spans="2:7" ht="30" customHeight="1">
      <c r="C43" s="343" t="s">
        <v>114</v>
      </c>
      <c r="D43" s="343"/>
      <c r="E43" s="343"/>
      <c r="F43" s="343"/>
      <c r="G43" s="343"/>
    </row>
    <row r="45" spans="2:7">
      <c r="B45" s="48" t="s">
        <v>48</v>
      </c>
      <c r="C45" s="343" t="s">
        <v>115</v>
      </c>
      <c r="D45" s="343"/>
      <c r="E45" s="343"/>
      <c r="F45" s="343"/>
      <c r="G45" s="343"/>
    </row>
    <row r="47" spans="2:7">
      <c r="B47" s="48" t="s">
        <v>52</v>
      </c>
      <c r="C47" s="343" t="s">
        <v>116</v>
      </c>
      <c r="D47" s="343"/>
      <c r="E47" s="343"/>
      <c r="F47" s="343"/>
      <c r="G47" s="343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43" t="s">
        <v>117</v>
      </c>
      <c r="D14" s="343"/>
      <c r="E14" s="343"/>
      <c r="F14" s="343"/>
      <c r="G14" s="343"/>
    </row>
    <row r="16" spans="1:17">
      <c r="B16" s="48" t="s">
        <v>34</v>
      </c>
      <c r="C16" s="343" t="s">
        <v>119</v>
      </c>
      <c r="D16" s="343"/>
      <c r="E16" s="343"/>
      <c r="F16" s="343"/>
      <c r="G16" s="343"/>
    </row>
    <row r="18" spans="2:7">
      <c r="B18" s="48" t="s">
        <v>35</v>
      </c>
      <c r="C18" s="343" t="s">
        <v>118</v>
      </c>
      <c r="D18" s="343"/>
      <c r="E18" s="343"/>
      <c r="F18" s="343"/>
      <c r="G18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M15" activePane="bottomRight" state="frozen"/>
      <selection pane="topRight" activeCell="H1" sqref="H1"/>
      <selection pane="bottomLeft" activeCell="A6" sqref="A6"/>
      <selection pane="bottomRight" activeCell="N22" sqref="N22:Q22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1"/>
      <c r="B1" s="232" t="s">
        <v>269</v>
      </c>
      <c r="C1" s="157"/>
      <c r="D1" s="157"/>
      <c r="E1" s="15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8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</row>
    <row r="2" spans="1:56 16377:16378" ht="18.600000000000001">
      <c r="A2" s="151"/>
      <c r="B2" s="233">
        <f ca="1">TODAY()</f>
        <v>45876</v>
      </c>
      <c r="F2" s="158"/>
      <c r="G2" s="158"/>
      <c r="H2" s="158"/>
      <c r="I2" s="156"/>
      <c r="J2" s="158"/>
      <c r="K2" s="156"/>
      <c r="L2" s="156"/>
      <c r="M2" s="156"/>
      <c r="P2" s="150"/>
      <c r="Q2" s="150"/>
      <c r="R2" s="150"/>
      <c r="AC2" s="201"/>
      <c r="AD2" s="201"/>
    </row>
    <row r="3" spans="1:56 16377:16378" ht="18.600000000000001" thickBot="1">
      <c r="A3" s="151"/>
      <c r="F3" s="159"/>
      <c r="G3" s="159"/>
      <c r="H3" s="159"/>
      <c r="I3" s="173"/>
      <c r="J3" s="159"/>
      <c r="K3" s="156"/>
      <c r="L3" s="156"/>
      <c r="M3" s="156"/>
      <c r="P3" s="154"/>
      <c r="Q3" s="154"/>
      <c r="R3" s="154"/>
      <c r="AC3" s="201"/>
      <c r="AD3" s="201"/>
    </row>
    <row r="4" spans="1:56 16377:16378" ht="18.75" customHeight="1" thickBot="1">
      <c r="A4" s="313" t="s">
        <v>24</v>
      </c>
      <c r="B4" s="315" t="s">
        <v>234</v>
      </c>
      <c r="C4" s="315" t="s">
        <v>235</v>
      </c>
      <c r="D4" s="317" t="s">
        <v>236</v>
      </c>
      <c r="E4" s="315" t="s">
        <v>310</v>
      </c>
      <c r="F4" s="309" t="s">
        <v>250</v>
      </c>
      <c r="G4" s="306"/>
      <c r="H4" s="306"/>
      <c r="I4" s="307"/>
      <c r="J4" s="306" t="s">
        <v>249</v>
      </c>
      <c r="K4" s="306"/>
      <c r="L4" s="306"/>
      <c r="M4" s="306"/>
      <c r="N4" s="309" t="s">
        <v>251</v>
      </c>
      <c r="O4" s="306"/>
      <c r="P4" s="306"/>
      <c r="Q4" s="307"/>
      <c r="R4" s="309" t="s">
        <v>256</v>
      </c>
      <c r="S4" s="306"/>
      <c r="T4" s="306"/>
      <c r="U4" s="307"/>
      <c r="V4" s="306" t="s">
        <v>257</v>
      </c>
      <c r="W4" s="306"/>
      <c r="X4" s="306"/>
      <c r="Y4" s="306"/>
      <c r="Z4" s="309" t="s">
        <v>258</v>
      </c>
      <c r="AA4" s="306"/>
      <c r="AB4" s="306"/>
      <c r="AC4" s="307"/>
      <c r="AD4" s="309" t="s">
        <v>260</v>
      </c>
      <c r="AE4" s="306"/>
      <c r="AF4" s="306"/>
      <c r="AG4" s="307"/>
      <c r="AH4" s="309" t="s">
        <v>261</v>
      </c>
      <c r="AI4" s="306"/>
      <c r="AJ4" s="306"/>
      <c r="AK4" s="307"/>
      <c r="AL4" s="309" t="s">
        <v>237</v>
      </c>
      <c r="AM4" s="306"/>
      <c r="AN4" s="306"/>
      <c r="AO4" s="307"/>
      <c r="AP4" s="306" t="s">
        <v>238</v>
      </c>
      <c r="AQ4" s="306"/>
      <c r="AR4" s="306"/>
      <c r="AS4" s="307"/>
      <c r="AT4" s="309" t="s">
        <v>239</v>
      </c>
      <c r="AU4" s="306"/>
      <c r="AV4" s="306"/>
      <c r="AW4" s="307"/>
      <c r="AX4" s="309" t="s">
        <v>240</v>
      </c>
      <c r="AY4" s="306"/>
      <c r="AZ4" s="306"/>
      <c r="BA4" s="307"/>
      <c r="BB4" s="220" t="s">
        <v>307</v>
      </c>
      <c r="BC4" s="220" t="s">
        <v>278</v>
      </c>
      <c r="BD4" s="220" t="s">
        <v>308</v>
      </c>
    </row>
    <row r="5" spans="1:56 16377:16378" s="145" customFormat="1" ht="37.5" customHeight="1" thickBot="1">
      <c r="A5" s="314"/>
      <c r="B5" s="316"/>
      <c r="C5" s="316"/>
      <c r="D5" s="318"/>
      <c r="E5" s="316"/>
      <c r="F5" s="172" t="s">
        <v>246</v>
      </c>
      <c r="G5" s="172" t="s">
        <v>245</v>
      </c>
      <c r="H5" s="174" t="s">
        <v>244</v>
      </c>
      <c r="I5" s="174" t="s">
        <v>247</v>
      </c>
      <c r="J5" s="212" t="s">
        <v>246</v>
      </c>
      <c r="K5" s="172" t="s">
        <v>245</v>
      </c>
      <c r="L5" s="174" t="s">
        <v>244</v>
      </c>
      <c r="M5" s="205" t="s">
        <v>247</v>
      </c>
      <c r="N5" s="172" t="s">
        <v>246</v>
      </c>
      <c r="O5" s="172" t="s">
        <v>245</v>
      </c>
      <c r="P5" s="174" t="s">
        <v>244</v>
      </c>
      <c r="Q5" s="174" t="s">
        <v>247</v>
      </c>
      <c r="R5" s="149" t="s">
        <v>241</v>
      </c>
      <c r="S5" s="149" t="s">
        <v>242</v>
      </c>
      <c r="T5" s="268" t="s">
        <v>244</v>
      </c>
      <c r="U5" s="268" t="s">
        <v>247</v>
      </c>
      <c r="V5" s="165" t="s">
        <v>241</v>
      </c>
      <c r="W5" s="149" t="s">
        <v>242</v>
      </c>
      <c r="X5" s="268" t="s">
        <v>244</v>
      </c>
      <c r="Y5" s="268" t="s">
        <v>247</v>
      </c>
      <c r="Z5" s="149" t="s">
        <v>241</v>
      </c>
      <c r="AA5" s="149" t="s">
        <v>242</v>
      </c>
      <c r="AB5" s="174" t="s">
        <v>244</v>
      </c>
      <c r="AC5" s="174" t="s">
        <v>247</v>
      </c>
      <c r="AD5" s="148" t="s">
        <v>241</v>
      </c>
      <c r="AE5" s="155" t="s">
        <v>242</v>
      </c>
      <c r="AF5" s="174" t="s">
        <v>244</v>
      </c>
      <c r="AG5" s="174" t="s">
        <v>247</v>
      </c>
      <c r="AH5" s="148" t="s">
        <v>241</v>
      </c>
      <c r="AI5" s="155" t="s">
        <v>242</v>
      </c>
      <c r="AJ5" s="174" t="s">
        <v>244</v>
      </c>
      <c r="AK5" s="174" t="s">
        <v>247</v>
      </c>
      <c r="AL5" s="148" t="s">
        <v>241</v>
      </c>
      <c r="AM5" s="155" t="s">
        <v>242</v>
      </c>
      <c r="AN5" s="174" t="s">
        <v>244</v>
      </c>
      <c r="AO5" s="174" t="s">
        <v>247</v>
      </c>
      <c r="AP5" s="155" t="s">
        <v>241</v>
      </c>
      <c r="AQ5" s="155" t="s">
        <v>242</v>
      </c>
      <c r="AR5" s="174" t="s">
        <v>244</v>
      </c>
      <c r="AS5" s="174" t="s">
        <v>247</v>
      </c>
      <c r="AT5" s="148" t="s">
        <v>241</v>
      </c>
      <c r="AU5" s="155" t="s">
        <v>242</v>
      </c>
      <c r="AV5" s="174" t="s">
        <v>244</v>
      </c>
      <c r="AW5" s="174" t="s">
        <v>247</v>
      </c>
      <c r="AX5" s="148" t="s">
        <v>241</v>
      </c>
      <c r="AY5" s="155" t="s">
        <v>242</v>
      </c>
      <c r="AZ5" s="174" t="s">
        <v>244</v>
      </c>
      <c r="BA5" s="174" t="s">
        <v>247</v>
      </c>
      <c r="BB5" s="144" t="s">
        <v>243</v>
      </c>
      <c r="BC5" s="144" t="s">
        <v>243</v>
      </c>
      <c r="BD5" s="144" t="s">
        <v>243</v>
      </c>
    </row>
    <row r="6" spans="1:56 16377:16378" s="146" customFormat="1" ht="23.4" customHeight="1">
      <c r="A6" s="167">
        <v>106</v>
      </c>
      <c r="B6" s="229" t="s">
        <v>210</v>
      </c>
      <c r="C6" s="228" t="s">
        <v>214</v>
      </c>
      <c r="D6" s="279" t="s">
        <v>202</v>
      </c>
      <c r="E6" s="223"/>
      <c r="F6" s="218">
        <v>60000</v>
      </c>
      <c r="G6" s="163">
        <v>64536.480000000003</v>
      </c>
      <c r="H6" s="176">
        <v>55569.566439999995</v>
      </c>
      <c r="I6" s="214">
        <v>0</v>
      </c>
      <c r="J6" s="207">
        <v>180000</v>
      </c>
      <c r="K6" s="163">
        <v>136879.4</v>
      </c>
      <c r="L6" s="180">
        <v>119176.21819999999</v>
      </c>
      <c r="M6" s="204">
        <v>0</v>
      </c>
      <c r="N6" s="207">
        <f>525912.47/2</f>
        <v>262956.23499999999</v>
      </c>
      <c r="O6" s="163">
        <v>256655.11</v>
      </c>
      <c r="P6" s="180">
        <v>223168.81433000002</v>
      </c>
      <c r="Q6" s="209">
        <v>0</v>
      </c>
      <c r="R6" s="207">
        <f>490000/2</f>
        <v>245000</v>
      </c>
      <c r="S6" s="163">
        <v>252573.51</v>
      </c>
      <c r="T6" s="269"/>
      <c r="U6" s="270">
        <v>215445.20402999999</v>
      </c>
      <c r="V6" s="207">
        <f>520000/2</f>
        <v>260000</v>
      </c>
      <c r="W6" s="163"/>
      <c r="X6" s="270">
        <v>0</v>
      </c>
      <c r="Y6" s="270">
        <v>0</v>
      </c>
      <c r="Z6" s="207">
        <v>440000</v>
      </c>
      <c r="AA6" s="163"/>
      <c r="AB6" s="180"/>
      <c r="AC6" s="209"/>
      <c r="AD6" s="207"/>
      <c r="AE6" s="163"/>
      <c r="AF6" s="180"/>
      <c r="AG6" s="209"/>
      <c r="AH6" s="207"/>
      <c r="AI6" s="160"/>
      <c r="AJ6" s="209"/>
      <c r="AK6" s="209"/>
      <c r="AL6" s="207"/>
      <c r="AM6" s="207"/>
      <c r="AN6" s="180"/>
      <c r="AO6" s="209"/>
      <c r="AP6" s="207"/>
      <c r="AQ6" s="160"/>
      <c r="AR6" s="180"/>
      <c r="AS6" s="211"/>
      <c r="AT6" s="207"/>
      <c r="AU6" s="160"/>
      <c r="AV6" s="180"/>
      <c r="AW6" s="209"/>
      <c r="AX6" s="207"/>
      <c r="AY6" s="207"/>
      <c r="AZ6" s="180"/>
      <c r="BA6" s="209"/>
      <c r="BB6" s="257">
        <f t="shared" ref="BB6:BC24" si="0">AX6+AT6+AP6+AL6+AH6+AD6+Z6+V6+R6+N6+J6+F6</f>
        <v>1447956.2349999999</v>
      </c>
      <c r="BC6" s="257">
        <f t="shared" si="0"/>
        <v>710644.5</v>
      </c>
      <c r="BD6" s="276">
        <v>204000</v>
      </c>
    </row>
    <row r="7" spans="1:56 16377:16378" s="146" customFormat="1" ht="23.4" customHeight="1">
      <c r="A7" s="171">
        <v>154</v>
      </c>
      <c r="B7" s="226" t="s">
        <v>206</v>
      </c>
      <c r="C7" s="228" t="s">
        <v>219</v>
      </c>
      <c r="D7" s="280" t="s">
        <v>306</v>
      </c>
      <c r="E7" s="224"/>
      <c r="F7" s="218">
        <v>0</v>
      </c>
      <c r="G7" s="163">
        <v>0</v>
      </c>
      <c r="H7" s="176">
        <v>0</v>
      </c>
      <c r="I7" s="214">
        <v>0</v>
      </c>
      <c r="J7" s="267">
        <v>0</v>
      </c>
      <c r="K7" s="180">
        <v>0</v>
      </c>
      <c r="L7" s="180">
        <v>0</v>
      </c>
      <c r="M7" s="204">
        <v>0</v>
      </c>
      <c r="N7" s="207">
        <v>112000</v>
      </c>
      <c r="O7" s="163">
        <v>101780.1</v>
      </c>
      <c r="P7" s="180">
        <v>86513.085000000006</v>
      </c>
      <c r="Q7" s="209">
        <v>0</v>
      </c>
      <c r="R7" s="207">
        <v>125000</v>
      </c>
      <c r="S7" s="163">
        <v>127017.52</v>
      </c>
      <c r="T7" s="269">
        <v>108345.94456</v>
      </c>
      <c r="U7" s="270">
        <v>0</v>
      </c>
      <c r="V7" s="207">
        <v>44000</v>
      </c>
      <c r="W7" s="163">
        <v>54238.35</v>
      </c>
      <c r="X7" s="270">
        <v>46265.312550000002</v>
      </c>
      <c r="Y7" s="270">
        <v>46265.312550000002</v>
      </c>
      <c r="Z7" s="207">
        <v>130000</v>
      </c>
      <c r="AA7" s="163"/>
      <c r="AB7" s="180"/>
      <c r="AC7" s="209"/>
      <c r="AD7" s="207"/>
      <c r="AE7" s="163"/>
      <c r="AF7" s="180"/>
      <c r="AG7" s="209"/>
      <c r="AH7" s="207"/>
      <c r="AI7" s="160"/>
      <c r="AJ7" s="209"/>
      <c r="AK7" s="209"/>
      <c r="AL7" s="207"/>
      <c r="AM7" s="266"/>
      <c r="AN7" s="180"/>
      <c r="AO7" s="209"/>
      <c r="AP7" s="207"/>
      <c r="AQ7" s="160"/>
      <c r="AR7" s="180"/>
      <c r="AS7" s="211"/>
      <c r="AT7" s="207"/>
      <c r="AU7" s="160"/>
      <c r="AV7" s="180"/>
      <c r="AW7" s="209"/>
      <c r="AX7" s="207"/>
      <c r="AY7" s="207"/>
      <c r="AZ7" s="180"/>
      <c r="BA7" s="209"/>
      <c r="BB7" s="257">
        <f t="shared" ref="BB7" si="1">AX7+AT7+AP7+AL7+AH7+AD7+Z7+V7+R7+N7+J7+F7</f>
        <v>411000</v>
      </c>
      <c r="BC7" s="257">
        <f t="shared" ref="BC7" si="2">AY7+AU7+AQ7+AM7+AI7+AE7+AA7+W7+S7+O7+K7+G7</f>
        <v>283035.96999999997</v>
      </c>
      <c r="BD7" s="276">
        <v>0</v>
      </c>
    </row>
    <row r="8" spans="1:56 16377:16378" s="146" customFormat="1" ht="23.4" customHeight="1">
      <c r="A8" s="169">
        <v>159</v>
      </c>
      <c r="B8" s="229" t="s">
        <v>309</v>
      </c>
      <c r="C8" s="230" t="s">
        <v>215</v>
      </c>
      <c r="D8" s="280" t="s">
        <v>204</v>
      </c>
      <c r="E8" s="224"/>
      <c r="F8" s="218">
        <v>300000</v>
      </c>
      <c r="G8" s="163">
        <v>304499.69</v>
      </c>
      <c r="H8" s="176">
        <v>267446.11927000002</v>
      </c>
      <c r="I8" s="214">
        <v>0</v>
      </c>
      <c r="J8" s="218">
        <v>210000</v>
      </c>
      <c r="K8" s="163">
        <v>284806.86613000004</v>
      </c>
      <c r="L8" s="180">
        <v>250060.42846214003</v>
      </c>
      <c r="M8" s="204">
        <v>0</v>
      </c>
      <c r="N8" s="207">
        <v>325000</v>
      </c>
      <c r="O8" s="163">
        <v>317041.77</v>
      </c>
      <c r="P8" s="180">
        <v>279142.27181473502</v>
      </c>
      <c r="Q8" s="209">
        <v>0</v>
      </c>
      <c r="R8" s="207">
        <v>72000</v>
      </c>
      <c r="S8" s="163">
        <v>110093.142589</v>
      </c>
      <c r="T8" s="269">
        <v>96699.25126813534</v>
      </c>
      <c r="U8" s="270">
        <v>0</v>
      </c>
      <c r="V8" s="272">
        <v>90000</v>
      </c>
      <c r="W8" s="273"/>
      <c r="X8" s="274">
        <v>0</v>
      </c>
      <c r="Y8" s="275">
        <v>0</v>
      </c>
      <c r="Z8" s="207">
        <v>12000</v>
      </c>
      <c r="AA8" s="163"/>
      <c r="AB8" s="180"/>
      <c r="AC8" s="209"/>
      <c r="AD8" s="207"/>
      <c r="AE8" s="163"/>
      <c r="AF8" s="180"/>
      <c r="AG8" s="209"/>
      <c r="AH8" s="207"/>
      <c r="AI8" s="160"/>
      <c r="AJ8" s="209"/>
      <c r="AK8" s="209"/>
      <c r="AL8" s="207"/>
      <c r="AM8" s="163"/>
      <c r="AN8" s="184"/>
      <c r="AO8" s="209"/>
      <c r="AP8" s="207"/>
      <c r="AQ8" s="160"/>
      <c r="AR8" s="180"/>
      <c r="AS8" s="209"/>
      <c r="AT8" s="207"/>
      <c r="AU8" s="160"/>
      <c r="AV8" s="180"/>
      <c r="AW8" s="209"/>
      <c r="AX8" s="207"/>
      <c r="AY8" s="207"/>
      <c r="AZ8" s="180"/>
      <c r="BA8" s="209"/>
      <c r="BB8" s="257">
        <f t="shared" si="0"/>
        <v>1009000</v>
      </c>
      <c r="BC8" s="257">
        <f t="shared" si="0"/>
        <v>1016441.468719</v>
      </c>
      <c r="BD8" s="276">
        <f>3723934.02-W8-AA8-AE8</f>
        <v>3723934.02</v>
      </c>
    </row>
    <row r="9" spans="1:56 16377:16378" s="146" customFormat="1" ht="23.4" customHeight="1">
      <c r="A9" s="169">
        <v>162</v>
      </c>
      <c r="B9" s="229" t="s">
        <v>208</v>
      </c>
      <c r="C9" s="230" t="s">
        <v>216</v>
      </c>
      <c r="D9" s="280" t="s">
        <v>203</v>
      </c>
      <c r="E9" s="224"/>
      <c r="F9" s="218">
        <v>71260.850000000006</v>
      </c>
      <c r="G9" s="163">
        <v>71260.850000000006</v>
      </c>
      <c r="H9" s="176">
        <v>62923.330550000006</v>
      </c>
      <c r="I9" s="214">
        <v>0</v>
      </c>
      <c r="J9" s="319" t="s">
        <v>294</v>
      </c>
      <c r="K9" s="320"/>
      <c r="L9" s="320"/>
      <c r="M9" s="321"/>
      <c r="N9" s="319" t="s">
        <v>294</v>
      </c>
      <c r="O9" s="320"/>
      <c r="P9" s="320"/>
      <c r="Q9" s="321"/>
      <c r="R9" s="287" t="s">
        <v>294</v>
      </c>
      <c r="S9" s="288"/>
      <c r="T9" s="288"/>
      <c r="U9" s="289"/>
      <c r="V9" s="287" t="s">
        <v>294</v>
      </c>
      <c r="W9" s="288"/>
      <c r="X9" s="288"/>
      <c r="Y9" s="289"/>
      <c r="Z9" s="287" t="s">
        <v>294</v>
      </c>
      <c r="AA9" s="288"/>
      <c r="AB9" s="288"/>
      <c r="AC9" s="289"/>
      <c r="AD9" s="287" t="s">
        <v>294</v>
      </c>
      <c r="AE9" s="288"/>
      <c r="AF9" s="288"/>
      <c r="AG9" s="289"/>
      <c r="AH9" s="319" t="s">
        <v>294</v>
      </c>
      <c r="AI9" s="320"/>
      <c r="AJ9" s="320"/>
      <c r="AK9" s="321"/>
      <c r="AL9" s="319" t="s">
        <v>294</v>
      </c>
      <c r="AM9" s="320"/>
      <c r="AN9" s="320"/>
      <c r="AO9" s="321"/>
      <c r="AP9" s="319" t="s">
        <v>294</v>
      </c>
      <c r="AQ9" s="320"/>
      <c r="AR9" s="320"/>
      <c r="AS9" s="321"/>
      <c r="AT9" s="319" t="s">
        <v>294</v>
      </c>
      <c r="AU9" s="320"/>
      <c r="AV9" s="320"/>
      <c r="AW9" s="321"/>
      <c r="AX9" s="319" t="s">
        <v>294</v>
      </c>
      <c r="AY9" s="320"/>
      <c r="AZ9" s="320"/>
      <c r="BA9" s="321"/>
      <c r="BB9" s="257">
        <f>F9</f>
        <v>71260.850000000006</v>
      </c>
      <c r="BC9" s="257">
        <f t="shared" si="0"/>
        <v>71260.850000000006</v>
      </c>
      <c r="BD9" s="276">
        <v>0</v>
      </c>
    </row>
    <row r="10" spans="1:56 16377:16378" s="146" customFormat="1" ht="23.4" customHeight="1">
      <c r="A10" s="169">
        <v>174</v>
      </c>
      <c r="B10" s="226" t="s">
        <v>226</v>
      </c>
      <c r="C10" s="230" t="s">
        <v>222</v>
      </c>
      <c r="D10" s="280" t="s">
        <v>306</v>
      </c>
      <c r="E10" s="224"/>
      <c r="F10" s="218">
        <v>0</v>
      </c>
      <c r="G10" s="163">
        <v>0</v>
      </c>
      <c r="H10" s="176">
        <v>0</v>
      </c>
      <c r="I10" s="214">
        <v>0</v>
      </c>
      <c r="J10" s="218">
        <v>225000</v>
      </c>
      <c r="K10" s="163">
        <v>202289.83</v>
      </c>
      <c r="L10" s="204">
        <v>177003.60124999998</v>
      </c>
      <c r="M10" s="204">
        <v>0</v>
      </c>
      <c r="N10" s="207">
        <v>251000</v>
      </c>
      <c r="O10" s="163">
        <v>268315.96999999997</v>
      </c>
      <c r="P10" s="209">
        <v>234776.47374999998</v>
      </c>
      <c r="Q10" s="209">
        <v>0</v>
      </c>
      <c r="R10" s="207">
        <v>239000</v>
      </c>
      <c r="S10" s="163">
        <v>354792.61</v>
      </c>
      <c r="T10" s="269">
        <v>310443.53375</v>
      </c>
      <c r="U10" s="270">
        <v>0</v>
      </c>
      <c r="V10" s="207">
        <v>175000</v>
      </c>
      <c r="W10" s="163">
        <v>211010.78999999998</v>
      </c>
      <c r="X10" s="271">
        <v>0</v>
      </c>
      <c r="Y10" s="270">
        <v>184634.44124999997</v>
      </c>
      <c r="Z10" s="207">
        <v>200000</v>
      </c>
      <c r="AA10" s="163"/>
      <c r="AB10" s="180"/>
      <c r="AC10" s="209"/>
      <c r="AD10" s="207"/>
      <c r="AE10" s="163"/>
      <c r="AF10" s="180"/>
      <c r="AG10" s="209"/>
      <c r="AH10" s="207"/>
      <c r="AI10" s="160"/>
      <c r="AJ10" s="209"/>
      <c r="AK10" s="209"/>
      <c r="AL10" s="207"/>
      <c r="AM10" s="163"/>
      <c r="AN10" s="184"/>
      <c r="AO10" s="209"/>
      <c r="AP10" s="207"/>
      <c r="AQ10" s="160"/>
      <c r="AR10" s="179"/>
      <c r="AS10" s="211"/>
      <c r="AT10" s="207"/>
      <c r="AU10" s="160"/>
      <c r="AV10" s="180"/>
      <c r="AW10" s="209"/>
      <c r="AX10" s="207"/>
      <c r="AY10" s="207"/>
      <c r="AZ10" s="180"/>
      <c r="BA10" s="209"/>
      <c r="BB10" s="257">
        <f t="shared" si="0"/>
        <v>1090000</v>
      </c>
      <c r="BC10" s="257">
        <f t="shared" si="0"/>
        <v>1036409.1999999998</v>
      </c>
      <c r="BD10" s="276">
        <f>0-AA10-AE10</f>
        <v>0</v>
      </c>
    </row>
    <row r="11" spans="1:56 16377:16378" s="146" customFormat="1" ht="23.4" customHeight="1">
      <c r="A11" s="169">
        <v>175</v>
      </c>
      <c r="B11" s="229" t="s">
        <v>224</v>
      </c>
      <c r="C11" s="230" t="s">
        <v>217</v>
      </c>
      <c r="D11" s="281" t="s">
        <v>225</v>
      </c>
      <c r="E11" s="222"/>
      <c r="F11" s="218">
        <v>0</v>
      </c>
      <c r="G11" s="163">
        <v>0</v>
      </c>
      <c r="H11" s="176">
        <v>0</v>
      </c>
      <c r="I11" s="214">
        <v>0</v>
      </c>
      <c r="J11" s="218">
        <v>180000</v>
      </c>
      <c r="K11" s="163">
        <v>455576.86</v>
      </c>
      <c r="L11" s="180">
        <v>427331.09467999998</v>
      </c>
      <c r="M11" s="204">
        <v>0</v>
      </c>
      <c r="N11" s="207">
        <v>42000</v>
      </c>
      <c r="O11" s="163">
        <v>673708.62</v>
      </c>
      <c r="P11" s="209">
        <f>N11*0.9215</f>
        <v>38703</v>
      </c>
      <c r="Q11" s="209">
        <v>0</v>
      </c>
      <c r="R11" s="207">
        <v>445485.93</v>
      </c>
      <c r="S11" s="163">
        <v>445485.93</v>
      </c>
      <c r="T11" s="269">
        <v>417865.80233999999</v>
      </c>
      <c r="U11" s="270">
        <v>0</v>
      </c>
      <c r="V11" s="207">
        <v>450000</v>
      </c>
      <c r="W11" s="163">
        <v>1044732.9</v>
      </c>
      <c r="X11" s="271">
        <v>0</v>
      </c>
      <c r="Y11" s="270">
        <v>979959.46019999997</v>
      </c>
      <c r="Z11" s="207">
        <v>175000</v>
      </c>
      <c r="AA11" s="163"/>
      <c r="AB11" s="180"/>
      <c r="AC11" s="209"/>
      <c r="AD11" s="207"/>
      <c r="AE11" s="163"/>
      <c r="AF11" s="180"/>
      <c r="AG11" s="209"/>
      <c r="AH11" s="207"/>
      <c r="AI11" s="160"/>
      <c r="AJ11" s="180"/>
      <c r="AK11" s="209"/>
      <c r="AL11" s="207"/>
      <c r="AM11" s="163"/>
      <c r="AN11" s="184"/>
      <c r="AO11" s="209"/>
      <c r="AP11" s="207"/>
      <c r="AQ11" s="163"/>
      <c r="AR11" s="180"/>
      <c r="AS11" s="209"/>
      <c r="AT11" s="207"/>
      <c r="AU11" s="160"/>
      <c r="AV11" s="180"/>
      <c r="AW11" s="209"/>
      <c r="AX11" s="207"/>
      <c r="AY11" s="207"/>
      <c r="AZ11" s="180"/>
      <c r="BA11" s="209"/>
      <c r="BB11" s="257">
        <f t="shared" si="0"/>
        <v>1292485.93</v>
      </c>
      <c r="BC11" s="257">
        <f t="shared" si="0"/>
        <v>2619504.31</v>
      </c>
      <c r="BD11" s="276">
        <f>0-AA11-AE11</f>
        <v>0</v>
      </c>
    </row>
    <row r="12" spans="1:56 16377:16378" s="146" customFormat="1" ht="23.4" customHeight="1">
      <c r="A12" s="169">
        <v>183</v>
      </c>
      <c r="B12" s="229" t="s">
        <v>232</v>
      </c>
      <c r="C12" s="230" t="s">
        <v>217</v>
      </c>
      <c r="D12" s="280" t="s">
        <v>225</v>
      </c>
      <c r="E12" s="224"/>
      <c r="F12" s="218">
        <v>155000</v>
      </c>
      <c r="G12" s="163">
        <v>155086.68</v>
      </c>
      <c r="H12" s="176">
        <v>145471.30584000002</v>
      </c>
      <c r="I12" s="214">
        <v>0</v>
      </c>
      <c r="J12" s="218">
        <v>78000</v>
      </c>
      <c r="K12" s="163">
        <v>80177.17</v>
      </c>
      <c r="L12" s="204">
        <v>75206.185459999993</v>
      </c>
      <c r="M12" s="204">
        <v>0</v>
      </c>
      <c r="N12" s="218">
        <v>158024.29</v>
      </c>
      <c r="O12" s="163">
        <v>148226.78</v>
      </c>
      <c r="P12" s="163">
        <v>148226.78</v>
      </c>
      <c r="Q12" s="209">
        <v>0</v>
      </c>
      <c r="R12" s="207">
        <v>120000</v>
      </c>
      <c r="S12" s="163">
        <v>210261.44</v>
      </c>
      <c r="T12" s="269">
        <v>197225.23071999999</v>
      </c>
      <c r="U12" s="270">
        <v>0</v>
      </c>
      <c r="V12" s="207">
        <v>0</v>
      </c>
      <c r="W12" s="163">
        <v>0</v>
      </c>
      <c r="X12" s="271">
        <v>0</v>
      </c>
      <c r="Y12" s="270">
        <v>0</v>
      </c>
      <c r="Z12" s="207">
        <v>120000</v>
      </c>
      <c r="AA12" s="163"/>
      <c r="AB12" s="180"/>
      <c r="AC12" s="209"/>
      <c r="AD12" s="207"/>
      <c r="AE12" s="161"/>
      <c r="AF12" s="180"/>
      <c r="AG12" s="209"/>
      <c r="AH12" s="207"/>
      <c r="AI12" s="160"/>
      <c r="AJ12" s="180"/>
      <c r="AK12" s="209"/>
      <c r="AL12" s="207"/>
      <c r="AM12" s="163"/>
      <c r="AN12" s="184"/>
      <c r="AO12" s="209"/>
      <c r="AP12" s="207"/>
      <c r="AQ12" s="160"/>
      <c r="AR12" s="179"/>
      <c r="AS12" s="211"/>
      <c r="AT12" s="207"/>
      <c r="AU12" s="160"/>
      <c r="AV12" s="180"/>
      <c r="AW12" s="209"/>
      <c r="AX12" s="207"/>
      <c r="AY12" s="207"/>
      <c r="AZ12" s="180"/>
      <c r="BA12" s="209"/>
      <c r="BB12" s="257">
        <f t="shared" si="0"/>
        <v>631024.29</v>
      </c>
      <c r="BC12" s="257">
        <f t="shared" si="0"/>
        <v>593752.06999999995</v>
      </c>
      <c r="BD12" s="276">
        <f>0-AA12-AE12</f>
        <v>0</v>
      </c>
    </row>
    <row r="13" spans="1:56 16377:16378" s="146" customFormat="1" ht="23.25" customHeight="1">
      <c r="A13" s="169">
        <v>184</v>
      </c>
      <c r="B13" s="229" t="s">
        <v>265</v>
      </c>
      <c r="C13" s="230" t="s">
        <v>230</v>
      </c>
      <c r="D13" s="280" t="s">
        <v>231</v>
      </c>
      <c r="E13" s="224"/>
      <c r="F13" s="218">
        <v>170000</v>
      </c>
      <c r="G13" s="163">
        <v>229170.85</v>
      </c>
      <c r="H13" s="214">
        <v>206139.17957499999</v>
      </c>
      <c r="I13" s="214">
        <v>0</v>
      </c>
      <c r="J13" s="207">
        <v>200000</v>
      </c>
      <c r="K13" s="163">
        <v>301941.38</v>
      </c>
      <c r="L13" s="180">
        <v>271596.27131000004</v>
      </c>
      <c r="M13" s="204">
        <v>0</v>
      </c>
      <c r="N13" s="218">
        <v>300000</v>
      </c>
      <c r="O13" s="163">
        <v>293768.77751548996</v>
      </c>
      <c r="P13" s="180">
        <v>264245.01537518325</v>
      </c>
      <c r="Q13" s="209">
        <v>0</v>
      </c>
      <c r="R13" s="219">
        <v>500000</v>
      </c>
      <c r="S13" s="163">
        <v>523177.87407679996</v>
      </c>
      <c r="T13" s="269">
        <v>470598.49773208157</v>
      </c>
      <c r="U13" s="270">
        <v>0</v>
      </c>
      <c r="V13" s="207">
        <v>400000</v>
      </c>
      <c r="W13" s="163">
        <v>128994.7340768</v>
      </c>
      <c r="X13" s="271">
        <v>0</v>
      </c>
      <c r="Y13" s="270">
        <v>116030.7633020816</v>
      </c>
      <c r="Z13" s="207">
        <v>250000</v>
      </c>
      <c r="AA13" s="163"/>
      <c r="AB13" s="180"/>
      <c r="AC13" s="209"/>
      <c r="AD13" s="207">
        <v>883145.6</v>
      </c>
      <c r="AE13" s="163"/>
      <c r="AF13" s="180"/>
      <c r="AG13" s="209"/>
      <c r="AH13" s="207"/>
      <c r="AI13" s="160"/>
      <c r="AJ13" s="209"/>
      <c r="AK13" s="209"/>
      <c r="AL13" s="207"/>
      <c r="AM13" s="163"/>
      <c r="AN13" s="184"/>
      <c r="AO13" s="209"/>
      <c r="AP13" s="207"/>
      <c r="AQ13" s="160"/>
      <c r="AR13" s="179"/>
      <c r="AS13" s="211"/>
      <c r="AT13" s="207"/>
      <c r="AU13" s="160"/>
      <c r="AV13" s="180"/>
      <c r="AW13" s="209"/>
      <c r="AX13" s="207"/>
      <c r="AY13" s="207"/>
      <c r="AZ13" s="180"/>
      <c r="BA13" s="209"/>
      <c r="BB13" s="257">
        <f t="shared" si="0"/>
        <v>2703145.6</v>
      </c>
      <c r="BC13" s="257">
        <f t="shared" si="0"/>
        <v>1477053.6156690901</v>
      </c>
      <c r="BD13" s="276">
        <f>0-AA13-AE13</f>
        <v>0</v>
      </c>
    </row>
    <row r="14" spans="1:56 16377:16378" s="146" customFormat="1" ht="23.4" customHeight="1">
      <c r="A14" s="169">
        <v>184</v>
      </c>
      <c r="B14" s="229" t="s">
        <v>268</v>
      </c>
      <c r="C14" s="230" t="s">
        <v>230</v>
      </c>
      <c r="D14" s="280" t="s">
        <v>231</v>
      </c>
      <c r="E14" s="224"/>
      <c r="F14" s="218">
        <v>75000</v>
      </c>
      <c r="G14" s="163">
        <v>38973.51</v>
      </c>
      <c r="H14" s="176">
        <v>35056.672244999994</v>
      </c>
      <c r="I14" s="214">
        <v>0</v>
      </c>
      <c r="J14" s="207">
        <v>90000</v>
      </c>
      <c r="K14" s="163">
        <v>133602.84000000003</v>
      </c>
      <c r="L14" s="204">
        <v>120175.75458000001</v>
      </c>
      <c r="M14" s="204">
        <v>0</v>
      </c>
      <c r="N14" s="218">
        <v>140000</v>
      </c>
      <c r="O14" s="163">
        <v>145579.558735225</v>
      </c>
      <c r="P14" s="180">
        <v>130948.81308233488</v>
      </c>
      <c r="Q14" s="209">
        <v>0</v>
      </c>
      <c r="R14" s="219">
        <v>265000</v>
      </c>
      <c r="S14" s="195">
        <v>274123.785965905</v>
      </c>
      <c r="T14" s="271">
        <v>246574.34547633154</v>
      </c>
      <c r="U14" s="270">
        <v>0</v>
      </c>
      <c r="V14" s="207">
        <v>250000</v>
      </c>
      <c r="W14" s="163"/>
      <c r="X14" s="271">
        <v>0</v>
      </c>
      <c r="Y14" s="270">
        <v>0</v>
      </c>
      <c r="Z14" s="207">
        <v>150000</v>
      </c>
      <c r="AA14" s="163"/>
      <c r="AB14" s="180"/>
      <c r="AC14" s="209"/>
      <c r="AD14" s="207">
        <v>543354.46</v>
      </c>
      <c r="AE14" s="163"/>
      <c r="AF14" s="180"/>
      <c r="AG14" s="209"/>
      <c r="AH14" s="207"/>
      <c r="AI14" s="160"/>
      <c r="AJ14" s="209"/>
      <c r="AK14" s="209"/>
      <c r="AL14" s="207"/>
      <c r="AM14" s="163"/>
      <c r="AN14" s="184"/>
      <c r="AO14" s="209"/>
      <c r="AP14" s="207"/>
      <c r="AQ14" s="160"/>
      <c r="AR14" s="179"/>
      <c r="AS14" s="211"/>
      <c r="AT14" s="207"/>
      <c r="AU14" s="160"/>
      <c r="AV14" s="180"/>
      <c r="AW14" s="209"/>
      <c r="AX14" s="207"/>
      <c r="AY14" s="207"/>
      <c r="AZ14" s="180"/>
      <c r="BA14" s="209"/>
      <c r="BB14" s="257">
        <f t="shared" si="0"/>
        <v>1513354.46</v>
      </c>
      <c r="BC14" s="257">
        <f t="shared" si="0"/>
        <v>592279.69470113004</v>
      </c>
      <c r="BD14" s="276">
        <f>0-AA14-AE14</f>
        <v>0</v>
      </c>
    </row>
    <row r="15" spans="1:56 16377:16378" s="146" customFormat="1" ht="23.25" customHeight="1">
      <c r="A15" s="169">
        <v>192</v>
      </c>
      <c r="B15" s="229" t="s">
        <v>259</v>
      </c>
      <c r="C15" s="231" t="s">
        <v>219</v>
      </c>
      <c r="D15" s="280" t="s">
        <v>306</v>
      </c>
      <c r="E15" s="224"/>
      <c r="F15" s="218">
        <f>125000+358000</f>
        <v>483000</v>
      </c>
      <c r="G15" s="163">
        <v>466923.75</v>
      </c>
      <c r="H15" s="176">
        <v>419297.52749999997</v>
      </c>
      <c r="I15" s="214">
        <v>0</v>
      </c>
      <c r="J15" s="267">
        <v>115000</v>
      </c>
      <c r="K15" s="163">
        <v>172820.85</v>
      </c>
      <c r="L15" s="204">
        <v>155193.12390000001</v>
      </c>
      <c r="M15" s="204">
        <v>0</v>
      </c>
      <c r="N15" s="218">
        <v>150000</v>
      </c>
      <c r="O15" s="163">
        <v>92181.72</v>
      </c>
      <c r="P15" s="180"/>
      <c r="Q15" s="209">
        <v>82779.18406</v>
      </c>
      <c r="R15" s="207">
        <v>175000</v>
      </c>
      <c r="S15" s="163">
        <f>309222.3+30248.16</f>
        <v>339470.45999999996</v>
      </c>
      <c r="T15" s="271">
        <v>304844.47207999998</v>
      </c>
      <c r="U15" s="270">
        <v>0</v>
      </c>
      <c r="V15" s="207">
        <v>150000</v>
      </c>
      <c r="W15" s="163"/>
      <c r="X15" s="271">
        <v>0</v>
      </c>
      <c r="Y15" s="270">
        <v>0</v>
      </c>
      <c r="Z15" s="207">
        <v>50000</v>
      </c>
      <c r="AA15" s="163"/>
      <c r="AB15" s="180"/>
      <c r="AC15" s="209"/>
      <c r="AD15" s="207"/>
      <c r="AE15" s="163"/>
      <c r="AF15" s="180"/>
      <c r="AG15" s="209"/>
      <c r="AH15" s="207"/>
      <c r="AI15" s="163"/>
      <c r="AJ15" s="209"/>
      <c r="AK15" s="209"/>
      <c r="AL15" s="207"/>
      <c r="AM15" s="163"/>
      <c r="AN15" s="184"/>
      <c r="AO15" s="209"/>
      <c r="AP15" s="207"/>
      <c r="AQ15" s="207"/>
      <c r="AR15" s="207"/>
      <c r="AS15" s="207"/>
      <c r="AT15" s="207"/>
      <c r="AU15" s="160"/>
      <c r="AV15" s="180"/>
      <c r="AW15" s="209"/>
      <c r="AX15" s="207"/>
      <c r="AY15" s="207"/>
      <c r="AZ15" s="180"/>
      <c r="BA15" s="209"/>
      <c r="BB15" s="257">
        <f t="shared" si="0"/>
        <v>1123000</v>
      </c>
      <c r="BC15" s="257">
        <f t="shared" si="0"/>
        <v>1071396.7799999998</v>
      </c>
      <c r="BD15" s="276">
        <f>0-AA15-AE15</f>
        <v>0</v>
      </c>
      <c r="XEW15" s="169"/>
      <c r="XEX15" s="170"/>
    </row>
    <row r="16" spans="1:56 16377:16378" s="146" customFormat="1" ht="28.5" customHeight="1">
      <c r="A16" s="169">
        <v>202</v>
      </c>
      <c r="B16" s="229" t="s">
        <v>262</v>
      </c>
      <c r="C16" s="230" t="s">
        <v>219</v>
      </c>
      <c r="D16" s="280" t="s">
        <v>306</v>
      </c>
      <c r="E16" s="224"/>
      <c r="F16" s="218">
        <v>0</v>
      </c>
      <c r="G16" s="163">
        <v>0</v>
      </c>
      <c r="H16" s="176">
        <v>0</v>
      </c>
      <c r="I16" s="214">
        <v>0</v>
      </c>
      <c r="J16" s="207">
        <v>0</v>
      </c>
      <c r="K16" s="163">
        <v>0</v>
      </c>
      <c r="L16" s="180"/>
      <c r="M16" s="204">
        <v>0</v>
      </c>
      <c r="N16" s="218">
        <v>0</v>
      </c>
      <c r="O16" s="163">
        <v>0</v>
      </c>
      <c r="P16" s="180">
        <v>0</v>
      </c>
      <c r="Q16" s="209">
        <v>0</v>
      </c>
      <c r="R16" s="207">
        <v>22000</v>
      </c>
      <c r="S16" s="163">
        <v>30283.15</v>
      </c>
      <c r="T16" s="271">
        <v>25831.526949999999</v>
      </c>
      <c r="U16" s="270">
        <v>0</v>
      </c>
      <c r="V16" s="207">
        <v>0</v>
      </c>
      <c r="W16" s="163">
        <v>0</v>
      </c>
      <c r="X16" s="271">
        <v>0</v>
      </c>
      <c r="Y16" s="270">
        <v>0</v>
      </c>
      <c r="Z16" s="207">
        <v>25000</v>
      </c>
      <c r="AA16" s="163"/>
      <c r="AB16" s="180"/>
      <c r="AC16" s="209"/>
      <c r="AD16" s="207"/>
      <c r="AE16" s="163"/>
      <c r="AF16" s="179"/>
      <c r="AG16" s="211"/>
      <c r="AH16" s="207"/>
      <c r="AI16" s="163"/>
      <c r="AJ16" s="209"/>
      <c r="AK16" s="209"/>
      <c r="AL16" s="207"/>
      <c r="AM16" s="163"/>
      <c r="AN16" s="180"/>
      <c r="AO16" s="209"/>
      <c r="AP16" s="207"/>
      <c r="AQ16" s="160"/>
      <c r="AR16" s="180"/>
      <c r="AS16" s="209"/>
      <c r="AT16" s="207"/>
      <c r="AU16" s="160"/>
      <c r="AV16" s="180"/>
      <c r="AW16" s="209"/>
      <c r="AX16" s="207"/>
      <c r="AY16" s="207"/>
      <c r="AZ16" s="180"/>
      <c r="BA16" s="209"/>
      <c r="BB16" s="257">
        <f t="shared" si="0"/>
        <v>47000</v>
      </c>
      <c r="BC16" s="257">
        <f t="shared" si="0"/>
        <v>30283.15</v>
      </c>
      <c r="BD16" s="276">
        <f>0-AA16-AE16</f>
        <v>0</v>
      </c>
    </row>
    <row r="17" spans="1:56" s="146" customFormat="1" ht="28.5" customHeight="1">
      <c r="A17" s="169">
        <v>208</v>
      </c>
      <c r="B17" s="229" t="s">
        <v>283</v>
      </c>
      <c r="C17" s="230" t="s">
        <v>215</v>
      </c>
      <c r="D17" s="280" t="s">
        <v>231</v>
      </c>
      <c r="E17" s="224"/>
      <c r="F17" s="218">
        <v>29000</v>
      </c>
      <c r="G17" s="163">
        <f>29868.19+493.93</f>
        <v>30362.12</v>
      </c>
      <c r="H17" s="214">
        <f>27538.47118+455.5</f>
        <v>27993.97118</v>
      </c>
      <c r="I17" s="214">
        <v>0</v>
      </c>
      <c r="J17" s="207">
        <v>110000</v>
      </c>
      <c r="K17" s="163">
        <f>68810.24+1172</f>
        <v>69982.240000000005</v>
      </c>
      <c r="L17" s="204">
        <f>63443.04128+1080.58</f>
        <v>64523.621279999999</v>
      </c>
      <c r="M17" s="204">
        <v>0</v>
      </c>
      <c r="N17" s="218">
        <v>1370000</v>
      </c>
      <c r="O17" s="163">
        <f>1377577.14+19566.47</f>
        <v>1397143.6099999999</v>
      </c>
      <c r="P17" s="209">
        <v>1276632.0890738224</v>
      </c>
      <c r="Q17" s="209">
        <v>0</v>
      </c>
      <c r="R17" s="207">
        <v>374000</v>
      </c>
      <c r="S17" s="163">
        <v>373407.7182</v>
      </c>
      <c r="T17" s="271">
        <v>335880.24252089998</v>
      </c>
      <c r="U17" s="270">
        <v>0</v>
      </c>
      <c r="V17" s="207">
        <v>350000</v>
      </c>
      <c r="W17" s="163">
        <v>327098.08</v>
      </c>
      <c r="X17" s="269">
        <v>0</v>
      </c>
      <c r="Y17" s="270">
        <v>294224.72296000004</v>
      </c>
      <c r="Z17" s="207">
        <v>577754</v>
      </c>
      <c r="AA17" s="163"/>
      <c r="AB17" s="180"/>
      <c r="AC17" s="209"/>
      <c r="AD17" s="207"/>
      <c r="AE17" s="163"/>
      <c r="AF17" s="179"/>
      <c r="AG17" s="211"/>
      <c r="AH17" s="207"/>
      <c r="AI17" s="163"/>
      <c r="AJ17" s="209"/>
      <c r="AK17" s="209"/>
      <c r="AL17" s="207"/>
      <c r="AM17" s="163"/>
      <c r="AN17" s="180"/>
      <c r="AO17" s="209"/>
      <c r="AP17" s="207"/>
      <c r="AQ17" s="160"/>
      <c r="AR17" s="180"/>
      <c r="AS17" s="209"/>
      <c r="AT17" s="207"/>
      <c r="AU17" s="160"/>
      <c r="AV17" s="180"/>
      <c r="AW17" s="209"/>
      <c r="AX17" s="207"/>
      <c r="AY17" s="207"/>
      <c r="AZ17" s="180"/>
      <c r="BA17" s="209"/>
      <c r="BB17" s="257">
        <f t="shared" si="0"/>
        <v>2810754</v>
      </c>
      <c r="BC17" s="257">
        <f t="shared" si="0"/>
        <v>2197993.7682000003</v>
      </c>
      <c r="BD17" s="276">
        <f>3613840.88-W17-AA17-AE17</f>
        <v>3286742.8</v>
      </c>
    </row>
    <row r="18" spans="1:56" s="146" customFormat="1" ht="28.5" customHeight="1">
      <c r="A18" s="169">
        <v>215</v>
      </c>
      <c r="B18" s="229" t="s">
        <v>295</v>
      </c>
      <c r="C18" s="230" t="s">
        <v>219</v>
      </c>
      <c r="D18" s="280" t="s">
        <v>231</v>
      </c>
      <c r="E18" s="224"/>
      <c r="F18" s="218"/>
      <c r="G18" s="163"/>
      <c r="H18" s="214"/>
      <c r="I18" s="214"/>
      <c r="J18" s="207"/>
      <c r="K18" s="163"/>
      <c r="L18" s="204"/>
      <c r="M18" s="204"/>
      <c r="N18" s="218">
        <v>0</v>
      </c>
      <c r="O18" s="163">
        <v>0</v>
      </c>
      <c r="P18" s="180">
        <v>0</v>
      </c>
      <c r="Q18" s="209">
        <v>0</v>
      </c>
      <c r="R18" s="207">
        <v>300000</v>
      </c>
      <c r="S18" s="163">
        <v>273622.57</v>
      </c>
      <c r="T18" s="271">
        <v>246123.50171499999</v>
      </c>
      <c r="U18" s="270">
        <v>0</v>
      </c>
      <c r="V18" s="207">
        <v>5000</v>
      </c>
      <c r="W18" s="163">
        <v>7295.8399999999992</v>
      </c>
      <c r="X18" s="269">
        <v>0</v>
      </c>
      <c r="Y18" s="270">
        <v>6367.5835200000001</v>
      </c>
      <c r="Z18" s="207">
        <v>5000</v>
      </c>
      <c r="AA18" s="163"/>
      <c r="AB18" s="180"/>
      <c r="AC18" s="209"/>
      <c r="AD18" s="207"/>
      <c r="AE18" s="163"/>
      <c r="AF18" s="179"/>
      <c r="AG18" s="211"/>
      <c r="AH18" s="207"/>
      <c r="AI18" s="163"/>
      <c r="AJ18" s="209"/>
      <c r="AK18" s="209"/>
      <c r="AL18" s="207"/>
      <c r="AM18" s="163"/>
      <c r="AN18" s="180"/>
      <c r="AO18" s="209"/>
      <c r="AP18" s="207"/>
      <c r="AQ18" s="160"/>
      <c r="AR18" s="180"/>
      <c r="AS18" s="209"/>
      <c r="AT18" s="207"/>
      <c r="AU18" s="160"/>
      <c r="AV18" s="180"/>
      <c r="AW18" s="209"/>
      <c r="AX18" s="207"/>
      <c r="AY18" s="207"/>
      <c r="AZ18" s="180"/>
      <c r="BA18" s="209"/>
      <c r="BB18" s="257">
        <f t="shared" si="0"/>
        <v>310000</v>
      </c>
      <c r="BC18" s="257">
        <f t="shared" si="0"/>
        <v>280918.41000000003</v>
      </c>
      <c r="BD18" s="276">
        <f>700000-S18-W18-AA18-AE18</f>
        <v>419081.58999999997</v>
      </c>
    </row>
    <row r="19" spans="1:56" s="146" customFormat="1" ht="28.5" customHeight="1">
      <c r="A19" s="169">
        <v>216</v>
      </c>
      <c r="B19" s="229" t="s">
        <v>296</v>
      </c>
      <c r="C19" s="230" t="s">
        <v>217</v>
      </c>
      <c r="D19" s="280"/>
      <c r="E19" s="224"/>
      <c r="F19" s="218"/>
      <c r="G19" s="163"/>
      <c r="H19" s="214"/>
      <c r="I19" s="214"/>
      <c r="J19" s="207"/>
      <c r="K19" s="163"/>
      <c r="L19" s="204"/>
      <c r="M19" s="204"/>
      <c r="N19" s="218">
        <v>0</v>
      </c>
      <c r="O19" s="163">
        <v>0</v>
      </c>
      <c r="P19" s="180">
        <v>0</v>
      </c>
      <c r="Q19" s="209">
        <v>0</v>
      </c>
      <c r="R19" s="207">
        <v>0</v>
      </c>
      <c r="S19" s="163">
        <v>0</v>
      </c>
      <c r="T19" s="271">
        <v>0</v>
      </c>
      <c r="U19" s="270">
        <v>0</v>
      </c>
      <c r="V19" s="207">
        <v>0</v>
      </c>
      <c r="W19" s="163">
        <v>0</v>
      </c>
      <c r="X19" s="269">
        <v>0</v>
      </c>
      <c r="Y19" s="270">
        <v>0</v>
      </c>
      <c r="Z19" s="207">
        <v>0</v>
      </c>
      <c r="AA19" s="163"/>
      <c r="AB19" s="180"/>
      <c r="AC19" s="209"/>
      <c r="AD19" s="207"/>
      <c r="AE19" s="163"/>
      <c r="AF19" s="179"/>
      <c r="AG19" s="211"/>
      <c r="AH19" s="207"/>
      <c r="AI19" s="163"/>
      <c r="AJ19" s="209"/>
      <c r="AK19" s="209"/>
      <c r="AL19" s="207"/>
      <c r="AM19" s="163"/>
      <c r="AN19" s="180"/>
      <c r="AO19" s="209"/>
      <c r="AP19" s="207"/>
      <c r="AQ19" s="160"/>
      <c r="AR19" s="180"/>
      <c r="AS19" s="209"/>
      <c r="AT19" s="207"/>
      <c r="AU19" s="160"/>
      <c r="AV19" s="180"/>
      <c r="AW19" s="209"/>
      <c r="AX19" s="207"/>
      <c r="AY19" s="207"/>
      <c r="AZ19" s="180"/>
      <c r="BA19" s="209"/>
      <c r="BB19" s="257">
        <f t="shared" si="0"/>
        <v>0</v>
      </c>
      <c r="BC19" s="257">
        <f t="shared" si="0"/>
        <v>0</v>
      </c>
      <c r="BD19" s="276">
        <v>0</v>
      </c>
    </row>
    <row r="20" spans="1:56" s="146" customFormat="1" ht="28.5" customHeight="1">
      <c r="A20" s="169">
        <v>217</v>
      </c>
      <c r="B20" s="229" t="s">
        <v>302</v>
      </c>
      <c r="C20" s="230" t="s">
        <v>216</v>
      </c>
      <c r="D20" s="280" t="s">
        <v>299</v>
      </c>
      <c r="E20" s="224"/>
      <c r="F20" s="218"/>
      <c r="G20" s="163"/>
      <c r="H20" s="214"/>
      <c r="I20" s="214"/>
      <c r="J20" s="207"/>
      <c r="K20" s="163"/>
      <c r="L20" s="204"/>
      <c r="M20" s="204"/>
      <c r="N20" s="218">
        <v>0</v>
      </c>
      <c r="O20" s="163">
        <v>0</v>
      </c>
      <c r="P20" s="180">
        <v>0</v>
      </c>
      <c r="Q20" s="209">
        <v>0</v>
      </c>
      <c r="R20" s="207">
        <v>200000</v>
      </c>
      <c r="S20" s="163">
        <v>198060.33</v>
      </c>
      <c r="T20" s="271"/>
      <c r="U20" s="270">
        <v>173065.11552200001</v>
      </c>
      <c r="V20" s="207">
        <v>0</v>
      </c>
      <c r="W20" s="163">
        <v>0</v>
      </c>
      <c r="X20" s="269">
        <v>0</v>
      </c>
      <c r="Y20" s="270">
        <v>0</v>
      </c>
      <c r="Z20" s="207">
        <v>0</v>
      </c>
      <c r="AA20" s="163"/>
      <c r="AB20" s="180"/>
      <c r="AC20" s="209"/>
      <c r="AD20" s="207"/>
      <c r="AE20" s="163"/>
      <c r="AF20" s="179"/>
      <c r="AG20" s="211"/>
      <c r="AH20" s="207"/>
      <c r="AI20" s="163"/>
      <c r="AJ20" s="209"/>
      <c r="AK20" s="209"/>
      <c r="AL20" s="207"/>
      <c r="AM20" s="163"/>
      <c r="AN20" s="180"/>
      <c r="AO20" s="209"/>
      <c r="AP20" s="207"/>
      <c r="AQ20" s="160"/>
      <c r="AR20" s="180"/>
      <c r="AS20" s="209"/>
      <c r="AT20" s="207"/>
      <c r="AU20" s="160"/>
      <c r="AV20" s="180"/>
      <c r="AW20" s="209"/>
      <c r="AX20" s="207"/>
      <c r="AY20" s="207"/>
      <c r="AZ20" s="180"/>
      <c r="BA20" s="209"/>
      <c r="BB20" s="257">
        <f t="shared" si="0"/>
        <v>200000</v>
      </c>
      <c r="BC20" s="257">
        <f t="shared" si="0"/>
        <v>198060.33</v>
      </c>
      <c r="BD20" s="276">
        <f>200000-S20-W20-AA20-AE20</f>
        <v>1939.6700000000128</v>
      </c>
    </row>
    <row r="21" spans="1:56" s="146" customFormat="1" ht="28.5" customHeight="1">
      <c r="A21" s="169">
        <v>218</v>
      </c>
      <c r="B21" s="229" t="s">
        <v>297</v>
      </c>
      <c r="C21" s="230" t="s">
        <v>298</v>
      </c>
      <c r="D21" s="280" t="s">
        <v>300</v>
      </c>
      <c r="E21" s="224"/>
      <c r="F21" s="218"/>
      <c r="G21" s="163"/>
      <c r="H21" s="214"/>
      <c r="I21" s="214"/>
      <c r="J21" s="207"/>
      <c r="K21" s="163"/>
      <c r="L21" s="204"/>
      <c r="M21" s="204"/>
      <c r="N21" s="218">
        <v>290064.15999999997</v>
      </c>
      <c r="O21" s="163">
        <v>290064.15999999997</v>
      </c>
      <c r="P21" s="180">
        <v>0</v>
      </c>
      <c r="Q21" s="209">
        <v>251775.68647999997</v>
      </c>
      <c r="R21" s="207">
        <v>250000</v>
      </c>
      <c r="S21" s="163">
        <v>0</v>
      </c>
      <c r="T21" s="271">
        <v>0</v>
      </c>
      <c r="U21" s="270">
        <v>249031.5</v>
      </c>
      <c r="V21" s="207">
        <v>0</v>
      </c>
      <c r="W21" s="163">
        <v>0</v>
      </c>
      <c r="X21" s="269">
        <v>0</v>
      </c>
      <c r="Y21" s="270">
        <v>0</v>
      </c>
      <c r="Z21" s="207">
        <v>450000</v>
      </c>
      <c r="AA21" s="163"/>
      <c r="AB21" s="180"/>
      <c r="AC21" s="209"/>
      <c r="AD21" s="207"/>
      <c r="AE21" s="163"/>
      <c r="AF21" s="179"/>
      <c r="AG21" s="211"/>
      <c r="AH21" s="207"/>
      <c r="AI21" s="163"/>
      <c r="AJ21" s="209"/>
      <c r="AK21" s="209"/>
      <c r="AL21" s="207"/>
      <c r="AM21" s="163"/>
      <c r="AN21" s="180"/>
      <c r="AO21" s="209"/>
      <c r="AP21" s="207"/>
      <c r="AQ21" s="160"/>
      <c r="AR21" s="180"/>
      <c r="AS21" s="209"/>
      <c r="AT21" s="207"/>
      <c r="AU21" s="160"/>
      <c r="AV21" s="180"/>
      <c r="AW21" s="209"/>
      <c r="AX21" s="207"/>
      <c r="AY21" s="207"/>
      <c r="AZ21" s="180"/>
      <c r="BA21" s="209"/>
      <c r="BB21" s="257">
        <f t="shared" si="0"/>
        <v>990064.15999999992</v>
      </c>
      <c r="BC21" s="257">
        <f t="shared" si="0"/>
        <v>290064.15999999997</v>
      </c>
      <c r="BD21" s="276">
        <f>700000-S21-W21-AA21-AE21</f>
        <v>700000</v>
      </c>
    </row>
    <row r="22" spans="1:56" s="146" customFormat="1" ht="28.5" customHeight="1">
      <c r="A22" s="169">
        <v>220</v>
      </c>
      <c r="B22" s="229" t="s">
        <v>305</v>
      </c>
      <c r="C22" s="230" t="s">
        <v>222</v>
      </c>
      <c r="D22" s="280" t="s">
        <v>306</v>
      </c>
      <c r="E22" s="224"/>
      <c r="F22" s="218"/>
      <c r="G22" s="163"/>
      <c r="H22" s="214"/>
      <c r="I22" s="214"/>
      <c r="J22" s="207"/>
      <c r="K22" s="163"/>
      <c r="L22" s="204"/>
      <c r="M22" s="204"/>
      <c r="N22" s="218">
        <v>290064.15999999997</v>
      </c>
      <c r="O22" s="163">
        <v>290064.15999999997</v>
      </c>
      <c r="P22" s="180">
        <v>0</v>
      </c>
      <c r="Q22" s="209">
        <v>251775.68647999997</v>
      </c>
      <c r="R22" s="207">
        <v>0</v>
      </c>
      <c r="S22" s="163">
        <v>0</v>
      </c>
      <c r="T22" s="271">
        <v>0</v>
      </c>
      <c r="U22" s="270">
        <v>0</v>
      </c>
      <c r="V22" s="207">
        <v>0</v>
      </c>
      <c r="W22" s="163">
        <v>0</v>
      </c>
      <c r="X22" s="269">
        <v>0</v>
      </c>
      <c r="Y22" s="270">
        <v>0</v>
      </c>
      <c r="Z22" s="207">
        <v>0</v>
      </c>
      <c r="AA22" s="163"/>
      <c r="AB22" s="180"/>
      <c r="AC22" s="209"/>
      <c r="AD22" s="207"/>
      <c r="AE22" s="163"/>
      <c r="AF22" s="179"/>
      <c r="AG22" s="211"/>
      <c r="AH22" s="207">
        <v>225000</v>
      </c>
      <c r="AI22" s="163"/>
      <c r="AJ22" s="209"/>
      <c r="AK22" s="209"/>
      <c r="AL22" s="207"/>
      <c r="AM22" s="163"/>
      <c r="AN22" s="180"/>
      <c r="AO22" s="209"/>
      <c r="AP22" s="207"/>
      <c r="AQ22" s="160"/>
      <c r="AR22" s="180"/>
      <c r="AS22" s="209"/>
      <c r="AT22" s="207"/>
      <c r="AU22" s="160"/>
      <c r="AV22" s="180"/>
      <c r="AW22" s="209"/>
      <c r="AX22" s="207"/>
      <c r="AY22" s="207"/>
      <c r="AZ22" s="180"/>
      <c r="BA22" s="209"/>
      <c r="BB22" s="257">
        <f t="shared" si="0"/>
        <v>515064.16</v>
      </c>
      <c r="BC22" s="257">
        <f t="shared" si="0"/>
        <v>290064.15999999997</v>
      </c>
      <c r="BD22" s="276">
        <f>0-S22-W22-AA22-AE22</f>
        <v>0</v>
      </c>
    </row>
    <row r="23" spans="1:56" s="146" customFormat="1" ht="28.5" customHeight="1">
      <c r="A23" s="169">
        <v>225</v>
      </c>
      <c r="B23" s="229" t="s">
        <v>301</v>
      </c>
      <c r="C23" s="230" t="s">
        <v>219</v>
      </c>
      <c r="D23" s="280" t="s">
        <v>306</v>
      </c>
      <c r="E23" s="224"/>
      <c r="F23" s="218"/>
      <c r="G23" s="163"/>
      <c r="H23" s="214"/>
      <c r="I23" s="214"/>
      <c r="J23" s="207"/>
      <c r="K23" s="163"/>
      <c r="L23" s="204"/>
      <c r="M23" s="204"/>
      <c r="N23" s="218">
        <v>0</v>
      </c>
      <c r="O23" s="163">
        <v>0</v>
      </c>
      <c r="P23" s="180">
        <v>0</v>
      </c>
      <c r="Q23" s="209">
        <v>0</v>
      </c>
      <c r="R23" s="207">
        <v>0</v>
      </c>
      <c r="S23" s="163">
        <v>0</v>
      </c>
      <c r="T23" s="271">
        <v>0</v>
      </c>
      <c r="U23" s="270">
        <v>0</v>
      </c>
      <c r="V23" s="207">
        <v>106731.25</v>
      </c>
      <c r="W23" s="163">
        <v>92322.53125</v>
      </c>
      <c r="X23" s="269">
        <v>92322.53125</v>
      </c>
      <c r="Y23" s="270">
        <v>0</v>
      </c>
      <c r="Z23" s="207">
        <v>106731.25</v>
      </c>
      <c r="AA23" s="163"/>
      <c r="AB23" s="180"/>
      <c r="AC23" s="209"/>
      <c r="AD23" s="207"/>
      <c r="AE23" s="163"/>
      <c r="AF23" s="179"/>
      <c r="AG23" s="211"/>
      <c r="AH23" s="207"/>
      <c r="AI23" s="163"/>
      <c r="AJ23" s="209"/>
      <c r="AK23" s="209"/>
      <c r="AL23" s="207"/>
      <c r="AM23" s="163"/>
      <c r="AN23" s="180"/>
      <c r="AO23" s="209"/>
      <c r="AP23" s="207"/>
      <c r="AQ23" s="160"/>
      <c r="AR23" s="180"/>
      <c r="AS23" s="209"/>
      <c r="AT23" s="207"/>
      <c r="AU23" s="160"/>
      <c r="AV23" s="180"/>
      <c r="AW23" s="209"/>
      <c r="AX23" s="207"/>
      <c r="AY23" s="207"/>
      <c r="AZ23" s="180"/>
      <c r="BA23" s="209"/>
      <c r="BB23" s="257">
        <f t="shared" si="0"/>
        <v>213462.5</v>
      </c>
      <c r="BC23" s="257">
        <f t="shared" si="0"/>
        <v>92322.53125</v>
      </c>
      <c r="BD23" s="276"/>
    </row>
    <row r="24" spans="1:56" s="146" customFormat="1" ht="28.5" customHeight="1" thickBot="1">
      <c r="A24" s="169">
        <v>227</v>
      </c>
      <c r="B24" s="229" t="s">
        <v>303</v>
      </c>
      <c r="C24" s="230" t="s">
        <v>219</v>
      </c>
      <c r="D24" s="280" t="s">
        <v>304</v>
      </c>
      <c r="E24" s="224"/>
      <c r="F24" s="218"/>
      <c r="G24" s="163"/>
      <c r="H24" s="214"/>
      <c r="I24" s="214"/>
      <c r="J24" s="207"/>
      <c r="K24" s="163"/>
      <c r="L24" s="204"/>
      <c r="M24" s="204"/>
      <c r="N24" s="218"/>
      <c r="O24" s="163"/>
      <c r="P24" s="180"/>
      <c r="Q24" s="209"/>
      <c r="R24" s="207">
        <v>0</v>
      </c>
      <c r="S24" s="163">
        <v>0</v>
      </c>
      <c r="T24" s="271">
        <v>0</v>
      </c>
      <c r="U24" s="270">
        <v>0</v>
      </c>
      <c r="V24" s="207">
        <v>0</v>
      </c>
      <c r="W24" s="163">
        <v>0</v>
      </c>
      <c r="X24" s="269">
        <v>0</v>
      </c>
      <c r="Y24" s="270">
        <v>0</v>
      </c>
      <c r="Z24" s="207">
        <v>80000</v>
      </c>
      <c r="AA24" s="163"/>
      <c r="AB24" s="180"/>
      <c r="AC24" s="209"/>
      <c r="AD24" s="207"/>
      <c r="AE24" s="163"/>
      <c r="AF24" s="179"/>
      <c r="AG24" s="211"/>
      <c r="AH24" s="207"/>
      <c r="AI24" s="163"/>
      <c r="AJ24" s="209"/>
      <c r="AK24" s="209"/>
      <c r="AL24" s="207"/>
      <c r="AM24" s="163"/>
      <c r="AN24" s="180"/>
      <c r="AO24" s="209"/>
      <c r="AP24" s="207"/>
      <c r="AQ24" s="160"/>
      <c r="AR24" s="180"/>
      <c r="AS24" s="209"/>
      <c r="AT24" s="207"/>
      <c r="AU24" s="160"/>
      <c r="AV24" s="180"/>
      <c r="AW24" s="209"/>
      <c r="AX24" s="207"/>
      <c r="AY24" s="207"/>
      <c r="AZ24" s="180"/>
      <c r="BA24" s="209"/>
      <c r="BB24" s="257">
        <f t="shared" si="0"/>
        <v>80000</v>
      </c>
      <c r="BC24" s="257">
        <f t="shared" si="0"/>
        <v>0</v>
      </c>
      <c r="BD24" s="276"/>
    </row>
    <row r="25" spans="1:56" s="147" customFormat="1" ht="25.5" customHeight="1" thickBot="1">
      <c r="A25" s="152" t="s">
        <v>121</v>
      </c>
      <c r="B25" s="152"/>
      <c r="C25" s="153"/>
      <c r="D25" s="153"/>
      <c r="E25" s="153"/>
      <c r="F25" s="178">
        <f>SUBTOTAL(9,F5:F23)</f>
        <v>1343260.85</v>
      </c>
      <c r="G25" s="178">
        <f t="shared" ref="G25:Q25" si="3">SUBTOTAL(9,G5:G23)</f>
        <v>1360813.9300000002</v>
      </c>
      <c r="H25" s="178">
        <f t="shared" si="3"/>
        <v>1219897.6725999999</v>
      </c>
      <c r="I25" s="178">
        <f t="shared" si="3"/>
        <v>0</v>
      </c>
      <c r="J25" s="178">
        <f t="shared" si="3"/>
        <v>1388000</v>
      </c>
      <c r="K25" s="178">
        <f t="shared" si="3"/>
        <v>1838077.4361299998</v>
      </c>
      <c r="L25" s="178">
        <f t="shared" si="3"/>
        <v>1660266.29912214</v>
      </c>
      <c r="M25" s="178">
        <f t="shared" si="3"/>
        <v>0</v>
      </c>
      <c r="N25" s="178">
        <f t="shared" si="3"/>
        <v>3691108.8450000002</v>
      </c>
      <c r="O25" s="178">
        <f t="shared" si="3"/>
        <v>4274530.336250715</v>
      </c>
      <c r="P25" s="178">
        <f t="shared" si="3"/>
        <v>2682356.3424260756</v>
      </c>
      <c r="Q25" s="178">
        <f t="shared" si="3"/>
        <v>586330.55701999995</v>
      </c>
      <c r="R25" s="178">
        <f>SUBTOTAL(9,R5:R24)</f>
        <v>3332485.9299999997</v>
      </c>
      <c r="S25" s="178">
        <f t="shared" ref="S25:BD25" si="4">SUBTOTAL(9,S5:S24)</f>
        <v>3512370.0408317046</v>
      </c>
      <c r="T25" s="178">
        <f t="shared" si="4"/>
        <v>2760432.3491124478</v>
      </c>
      <c r="U25" s="178">
        <f t="shared" si="4"/>
        <v>637541.81955200003</v>
      </c>
      <c r="V25" s="178">
        <f t="shared" si="4"/>
        <v>2280731.25</v>
      </c>
      <c r="W25" s="178">
        <f t="shared" si="4"/>
        <v>1865693.2253268003</v>
      </c>
      <c r="X25" s="178">
        <f t="shared" si="4"/>
        <v>138587.8438</v>
      </c>
      <c r="Y25" s="178">
        <f t="shared" si="4"/>
        <v>1627482.2837820814</v>
      </c>
      <c r="Z25" s="178">
        <f t="shared" si="4"/>
        <v>2771485.25</v>
      </c>
      <c r="AA25" s="178">
        <f t="shared" si="4"/>
        <v>0</v>
      </c>
      <c r="AB25" s="178">
        <f t="shared" si="4"/>
        <v>0</v>
      </c>
      <c r="AC25" s="178">
        <f t="shared" si="4"/>
        <v>0</v>
      </c>
      <c r="AD25" s="178">
        <f t="shared" si="4"/>
        <v>1426500.06</v>
      </c>
      <c r="AE25" s="178">
        <f t="shared" si="4"/>
        <v>0</v>
      </c>
      <c r="AF25" s="178">
        <f t="shared" si="4"/>
        <v>0</v>
      </c>
      <c r="AG25" s="178">
        <f t="shared" si="4"/>
        <v>0</v>
      </c>
      <c r="AH25" s="178">
        <f t="shared" si="4"/>
        <v>225000</v>
      </c>
      <c r="AI25" s="178">
        <f t="shared" si="4"/>
        <v>0</v>
      </c>
      <c r="AJ25" s="178">
        <f t="shared" si="4"/>
        <v>0</v>
      </c>
      <c r="AK25" s="178">
        <f t="shared" si="4"/>
        <v>0</v>
      </c>
      <c r="AL25" s="178">
        <f t="shared" si="4"/>
        <v>0</v>
      </c>
      <c r="AM25" s="178">
        <f t="shared" si="4"/>
        <v>0</v>
      </c>
      <c r="AN25" s="178">
        <f t="shared" si="4"/>
        <v>0</v>
      </c>
      <c r="AO25" s="178">
        <f t="shared" si="4"/>
        <v>0</v>
      </c>
      <c r="AP25" s="178">
        <f t="shared" si="4"/>
        <v>0</v>
      </c>
      <c r="AQ25" s="178">
        <f t="shared" si="4"/>
        <v>0</v>
      </c>
      <c r="AR25" s="178">
        <f t="shared" si="4"/>
        <v>0</v>
      </c>
      <c r="AS25" s="178">
        <f t="shared" si="4"/>
        <v>0</v>
      </c>
      <c r="AT25" s="178">
        <f t="shared" si="4"/>
        <v>0</v>
      </c>
      <c r="AU25" s="178">
        <f t="shared" si="4"/>
        <v>0</v>
      </c>
      <c r="AV25" s="178">
        <f t="shared" si="4"/>
        <v>0</v>
      </c>
      <c r="AW25" s="178">
        <f t="shared" si="4"/>
        <v>0</v>
      </c>
      <c r="AX25" s="178">
        <f t="shared" si="4"/>
        <v>0</v>
      </c>
      <c r="AY25" s="178">
        <f t="shared" si="4"/>
        <v>0</v>
      </c>
      <c r="AZ25" s="178">
        <f t="shared" si="4"/>
        <v>0</v>
      </c>
      <c r="BA25" s="178">
        <f t="shared" si="4"/>
        <v>0</v>
      </c>
      <c r="BB25" s="178">
        <f t="shared" si="4"/>
        <v>16458572.184999999</v>
      </c>
      <c r="BC25" s="178">
        <f t="shared" si="4"/>
        <v>12851484.968539221</v>
      </c>
      <c r="BD25" s="178">
        <f t="shared" si="4"/>
        <v>8335698.0800000001</v>
      </c>
    </row>
    <row r="26" spans="1:56" s="189" customFormat="1" ht="14.25" customHeight="1">
      <c r="A26" s="186"/>
      <c r="B26" s="187"/>
      <c r="C26" s="186"/>
      <c r="D26" s="186"/>
      <c r="E26" s="186"/>
      <c r="F26" s="188"/>
      <c r="G26" s="188"/>
      <c r="H26" s="188"/>
      <c r="I26" s="188"/>
      <c r="J26" s="188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6"/>
      <c r="BD26" s="189" t="s">
        <v>264</v>
      </c>
    </row>
    <row r="27" spans="1:56" ht="15" customHeight="1">
      <c r="F27" s="182"/>
      <c r="G27" s="182"/>
      <c r="H27" s="182"/>
      <c r="I27" s="182"/>
      <c r="J27" s="182"/>
    </row>
    <row r="28" spans="1:56" s="193" customFormat="1" ht="15" customHeight="1">
      <c r="A28" s="190"/>
      <c r="B28" s="190"/>
      <c r="C28" s="190"/>
      <c r="D28" s="190"/>
      <c r="E28" s="190"/>
      <c r="F28" s="192"/>
      <c r="G28" s="191"/>
      <c r="H28" s="191"/>
      <c r="I28" s="191"/>
      <c r="J28" s="191"/>
      <c r="V28" s="199"/>
      <c r="W28" s="200"/>
      <c r="X28" s="200"/>
      <c r="AD28" s="51"/>
      <c r="AE28" s="51"/>
      <c r="AF28" s="51"/>
      <c r="AG28" s="20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0"/>
    </row>
    <row r="29" spans="1:56" s="193" customFormat="1" ht="15" customHeight="1">
      <c r="A29" s="190"/>
      <c r="B29" s="190"/>
      <c r="C29" s="190"/>
      <c r="D29" s="190"/>
      <c r="E29" s="190"/>
      <c r="F29" s="194"/>
      <c r="G29" s="194"/>
      <c r="H29" s="194"/>
      <c r="I29" s="194"/>
      <c r="J29" s="194"/>
      <c r="Y29" s="197"/>
      <c r="Z29" s="198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0"/>
    </row>
    <row r="30" spans="1:56" s="193" customFormat="1" ht="15" customHeight="1">
      <c r="A30" s="190"/>
      <c r="B30" s="190"/>
      <c r="C30" s="190"/>
      <c r="D30" s="190"/>
      <c r="E30" s="190"/>
      <c r="F30" s="194"/>
      <c r="G30" s="194"/>
      <c r="H30" s="194"/>
      <c r="I30" s="194"/>
      <c r="J30" s="194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0"/>
    </row>
    <row r="31" spans="1:56">
      <c r="I31" s="181"/>
    </row>
  </sheetData>
  <mergeCells count="24">
    <mergeCell ref="AX9:BA9"/>
    <mergeCell ref="AH9:AK9"/>
    <mergeCell ref="AL9:AO9"/>
    <mergeCell ref="AP9:AS9"/>
    <mergeCell ref="AT9:AW9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R4:U4"/>
    <mergeCell ref="AD4:AG4"/>
    <mergeCell ref="AT4:AW4"/>
    <mergeCell ref="AX4:BA4"/>
    <mergeCell ref="V4:Y4"/>
    <mergeCell ref="Z4:AC4"/>
    <mergeCell ref="AL4:AO4"/>
    <mergeCell ref="AP4:AS4"/>
    <mergeCell ref="AH4:AK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288"/>
  <sheetViews>
    <sheetView tabSelected="1" topLeftCell="A206" workbookViewId="0">
      <selection activeCell="I220" sqref="I220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3.44140625" customWidth="1"/>
    <col min="5" max="5" width="12.5546875" style="1" bestFit="1" customWidth="1"/>
    <col min="6" max="6" width="13.109375" style="1" customWidth="1"/>
    <col min="7" max="7" width="13.21875" style="1" customWidth="1"/>
  </cols>
  <sheetData>
    <row r="1" spans="1:7" s="282" customFormat="1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311</v>
      </c>
      <c r="F1" s="284" t="s">
        <v>279</v>
      </c>
      <c r="G1" s="284" t="s">
        <v>278</v>
      </c>
    </row>
    <row r="2" spans="1:7" s="282" customFormat="1" ht="15">
      <c r="A2" s="283">
        <v>100</v>
      </c>
      <c r="B2" s="283" t="s">
        <v>211</v>
      </c>
      <c r="C2" s="283" t="s">
        <v>213</v>
      </c>
      <c r="D2" s="283" t="s">
        <v>201</v>
      </c>
      <c r="E2" s="286">
        <v>45292</v>
      </c>
      <c r="F2" s="285">
        <v>150000</v>
      </c>
      <c r="G2" s="285">
        <v>550020.31000000006</v>
      </c>
    </row>
    <row r="3" spans="1:7" s="282" customFormat="1" ht="15">
      <c r="A3" s="283">
        <v>100</v>
      </c>
      <c r="B3" s="283" t="s">
        <v>212</v>
      </c>
      <c r="C3" s="283" t="s">
        <v>213</v>
      </c>
      <c r="D3" s="283" t="s">
        <v>201</v>
      </c>
      <c r="E3" s="286">
        <v>45292</v>
      </c>
      <c r="F3" s="285">
        <v>100000</v>
      </c>
      <c r="G3" s="285">
        <v>107925.48</v>
      </c>
    </row>
    <row r="4" spans="1:7" s="282" customFormat="1" ht="15">
      <c r="A4" s="283">
        <v>106</v>
      </c>
      <c r="B4" s="283" t="s">
        <v>210</v>
      </c>
      <c r="C4" s="283" t="s">
        <v>214</v>
      </c>
      <c r="D4" s="283" t="s">
        <v>202</v>
      </c>
      <c r="E4" s="286">
        <v>45292</v>
      </c>
      <c r="F4" s="285">
        <v>527988.18000000005</v>
      </c>
      <c r="G4" s="285">
        <v>558590.54</v>
      </c>
    </row>
    <row r="5" spans="1:7" s="282" customFormat="1" ht="15">
      <c r="A5" s="283">
        <v>143</v>
      </c>
      <c r="B5" s="283" t="s">
        <v>207</v>
      </c>
      <c r="C5" s="283" t="s">
        <v>219</v>
      </c>
      <c r="D5" s="283" t="s">
        <v>205</v>
      </c>
      <c r="E5" s="286">
        <v>45292</v>
      </c>
      <c r="F5" s="285">
        <v>0</v>
      </c>
      <c r="G5" s="285">
        <v>0</v>
      </c>
    </row>
    <row r="6" spans="1:7" s="282" customFormat="1" ht="15">
      <c r="A6" s="283">
        <v>154</v>
      </c>
      <c r="B6" s="283" t="s">
        <v>206</v>
      </c>
      <c r="C6" s="283" t="s">
        <v>219</v>
      </c>
      <c r="D6" s="283" t="s">
        <v>205</v>
      </c>
      <c r="E6" s="286">
        <v>45292</v>
      </c>
      <c r="F6" s="285">
        <v>0</v>
      </c>
      <c r="G6" s="285">
        <v>0</v>
      </c>
    </row>
    <row r="7" spans="1:7" s="282" customFormat="1" ht="15">
      <c r="A7" s="283">
        <v>159</v>
      </c>
      <c r="B7" s="283" t="s">
        <v>209</v>
      </c>
      <c r="C7" s="283" t="s">
        <v>215</v>
      </c>
      <c r="D7" s="283" t="s">
        <v>204</v>
      </c>
      <c r="E7" s="286">
        <v>45292</v>
      </c>
      <c r="F7" s="285">
        <v>600000</v>
      </c>
      <c r="G7" s="285">
        <v>591967.75</v>
      </c>
    </row>
    <row r="8" spans="1:7" s="282" customFormat="1" ht="15">
      <c r="A8" s="283">
        <v>162</v>
      </c>
      <c r="B8" s="283" t="s">
        <v>208</v>
      </c>
      <c r="C8" s="283" t="s">
        <v>216</v>
      </c>
      <c r="D8" s="283" t="s">
        <v>203</v>
      </c>
      <c r="E8" s="286">
        <v>45292</v>
      </c>
      <c r="F8" s="285">
        <v>60000</v>
      </c>
      <c r="G8" s="285">
        <v>66423.73</v>
      </c>
    </row>
    <row r="9" spans="1:7" s="282" customFormat="1" ht="15">
      <c r="A9" s="283">
        <v>172</v>
      </c>
      <c r="B9" s="283" t="s">
        <v>248</v>
      </c>
      <c r="C9" s="283" t="s">
        <v>218</v>
      </c>
      <c r="D9" s="283" t="s">
        <v>205</v>
      </c>
      <c r="E9" s="286">
        <v>45292</v>
      </c>
      <c r="F9" s="285">
        <v>0</v>
      </c>
      <c r="G9" s="285">
        <v>0</v>
      </c>
    </row>
    <row r="10" spans="1:7" s="282" customFormat="1" ht="15">
      <c r="A10" s="283">
        <v>172</v>
      </c>
      <c r="B10" s="283" t="s">
        <v>220</v>
      </c>
      <c r="C10" s="283" t="s">
        <v>218</v>
      </c>
      <c r="D10" s="283" t="s">
        <v>205</v>
      </c>
      <c r="E10" s="286">
        <v>45292</v>
      </c>
      <c r="F10" s="285">
        <v>0</v>
      </c>
      <c r="G10" s="285">
        <v>0</v>
      </c>
    </row>
    <row r="11" spans="1:7" s="282" customFormat="1" ht="15">
      <c r="A11" s="283">
        <v>173</v>
      </c>
      <c r="B11" s="283" t="s">
        <v>221</v>
      </c>
      <c r="C11" s="283" t="s">
        <v>218</v>
      </c>
      <c r="D11" s="283" t="s">
        <v>205</v>
      </c>
      <c r="E11" s="286">
        <v>45292</v>
      </c>
      <c r="F11" s="285">
        <v>0</v>
      </c>
      <c r="G11" s="285">
        <v>0</v>
      </c>
    </row>
    <row r="12" spans="1:7" s="282" customFormat="1" ht="15">
      <c r="A12" s="283">
        <v>174</v>
      </c>
      <c r="B12" s="283" t="s">
        <v>226</v>
      </c>
      <c r="C12" s="283" t="s">
        <v>222</v>
      </c>
      <c r="D12" s="283" t="s">
        <v>223</v>
      </c>
      <c r="E12" s="286">
        <v>45292</v>
      </c>
      <c r="F12" s="285">
        <v>235000</v>
      </c>
      <c r="G12" s="285">
        <v>252433.26</v>
      </c>
    </row>
    <row r="13" spans="1:7" s="282" customFormat="1" ht="15">
      <c r="A13" s="283">
        <v>175</v>
      </c>
      <c r="B13" s="283" t="s">
        <v>224</v>
      </c>
      <c r="C13" s="283" t="s">
        <v>217</v>
      </c>
      <c r="D13" s="283" t="s">
        <v>225</v>
      </c>
      <c r="E13" s="286">
        <v>45292</v>
      </c>
      <c r="F13" s="285">
        <v>169000</v>
      </c>
      <c r="G13" s="285">
        <v>170724.27</v>
      </c>
    </row>
    <row r="14" spans="1:7" s="282" customFormat="1" ht="15">
      <c r="A14" s="283">
        <v>179</v>
      </c>
      <c r="B14" s="283" t="s">
        <v>227</v>
      </c>
      <c r="C14" s="283" t="s">
        <v>217</v>
      </c>
      <c r="D14" s="283" t="s">
        <v>223</v>
      </c>
      <c r="E14" s="286">
        <v>45292</v>
      </c>
      <c r="F14" s="285">
        <v>154847.77000000002</v>
      </c>
      <c r="G14" s="285">
        <v>21898.98</v>
      </c>
    </row>
    <row r="15" spans="1:7" s="282" customFormat="1" ht="15">
      <c r="A15" s="283">
        <v>183</v>
      </c>
      <c r="B15" s="283" t="s">
        <v>232</v>
      </c>
      <c r="C15" s="283" t="s">
        <v>217</v>
      </c>
      <c r="D15" s="286" t="s">
        <v>225</v>
      </c>
      <c r="E15" s="286">
        <v>45292</v>
      </c>
      <c r="F15" s="285">
        <v>99000</v>
      </c>
      <c r="G15" s="285">
        <v>0</v>
      </c>
    </row>
    <row r="16" spans="1:7" s="282" customFormat="1" ht="15">
      <c r="A16" s="283">
        <v>184</v>
      </c>
      <c r="B16" s="283" t="s">
        <v>265</v>
      </c>
      <c r="C16" s="283" t="s">
        <v>230</v>
      </c>
      <c r="D16" s="283" t="s">
        <v>231</v>
      </c>
      <c r="E16" s="286">
        <v>45292</v>
      </c>
      <c r="F16" s="285">
        <v>0</v>
      </c>
      <c r="G16" s="285">
        <v>23182.63</v>
      </c>
    </row>
    <row r="17" spans="1:7" s="282" customFormat="1" ht="15">
      <c r="A17" s="283">
        <v>184</v>
      </c>
      <c r="B17" s="283" t="s">
        <v>268</v>
      </c>
      <c r="C17" s="283" t="s">
        <v>230</v>
      </c>
      <c r="D17" s="283" t="s">
        <v>231</v>
      </c>
      <c r="E17" s="286">
        <v>45292</v>
      </c>
      <c r="F17" s="285">
        <v>0</v>
      </c>
      <c r="G17" s="285">
        <v>0</v>
      </c>
    </row>
    <row r="18" spans="1:7" s="282" customFormat="1" ht="15">
      <c r="A18" s="283">
        <v>192</v>
      </c>
      <c r="B18" s="283" t="s">
        <v>259</v>
      </c>
      <c r="C18" s="283" t="s">
        <v>219</v>
      </c>
      <c r="D18" s="283" t="s">
        <v>223</v>
      </c>
      <c r="E18" s="286">
        <v>45292</v>
      </c>
      <c r="F18" s="285">
        <v>0</v>
      </c>
      <c r="G18" s="285">
        <v>0</v>
      </c>
    </row>
    <row r="19" spans="1:7" s="282" customFormat="1" ht="15">
      <c r="A19" s="283">
        <v>196</v>
      </c>
      <c r="B19" s="283" t="s">
        <v>252</v>
      </c>
      <c r="C19" s="283" t="s">
        <v>253</v>
      </c>
      <c r="D19" s="283" t="s">
        <v>223</v>
      </c>
      <c r="E19" s="286">
        <v>45292</v>
      </c>
      <c r="F19" s="285">
        <v>0</v>
      </c>
      <c r="G19" s="285">
        <v>0</v>
      </c>
    </row>
    <row r="20" spans="1:7" s="282" customFormat="1" ht="15">
      <c r="A20" s="283">
        <v>199</v>
      </c>
      <c r="B20" s="283" t="s">
        <v>254</v>
      </c>
      <c r="C20" s="283" t="s">
        <v>255</v>
      </c>
      <c r="D20" s="283" t="s">
        <v>223</v>
      </c>
      <c r="E20" s="286">
        <v>45292</v>
      </c>
      <c r="F20" s="285">
        <v>0</v>
      </c>
      <c r="G20" s="285">
        <v>0</v>
      </c>
    </row>
    <row r="21" spans="1:7" s="282" customFormat="1" ht="15">
      <c r="A21" s="283">
        <v>202</v>
      </c>
      <c r="B21" s="283" t="s">
        <v>262</v>
      </c>
      <c r="C21" s="283" t="s">
        <v>219</v>
      </c>
      <c r="D21" s="283" t="s">
        <v>223</v>
      </c>
      <c r="E21" s="286">
        <v>45292</v>
      </c>
      <c r="F21" s="285">
        <v>0</v>
      </c>
      <c r="G21" s="285">
        <v>0</v>
      </c>
    </row>
    <row r="22" spans="1:7" s="282" customFormat="1" ht="15">
      <c r="A22" s="283">
        <v>208</v>
      </c>
      <c r="B22" s="283" t="s">
        <v>283</v>
      </c>
      <c r="C22" s="283" t="s">
        <v>215</v>
      </c>
      <c r="D22" s="283" t="s">
        <v>231</v>
      </c>
      <c r="E22" s="286">
        <v>45292</v>
      </c>
      <c r="F22" s="285">
        <v>0</v>
      </c>
      <c r="G22" s="285">
        <v>0</v>
      </c>
    </row>
    <row r="23" spans="1:7" s="282" customFormat="1" ht="15">
      <c r="A23" s="283">
        <v>100</v>
      </c>
      <c r="B23" s="283" t="s">
        <v>211</v>
      </c>
      <c r="C23" s="283" t="s">
        <v>213</v>
      </c>
      <c r="D23" s="283" t="s">
        <v>201</v>
      </c>
      <c r="E23" s="286">
        <v>45323</v>
      </c>
      <c r="F23" s="285">
        <v>375000</v>
      </c>
      <c r="G23" s="285">
        <v>480883.99000000005</v>
      </c>
    </row>
    <row r="24" spans="1:7" s="282" customFormat="1" ht="15">
      <c r="A24" s="283">
        <v>100</v>
      </c>
      <c r="B24" s="283" t="s">
        <v>212</v>
      </c>
      <c r="C24" s="283" t="s">
        <v>213</v>
      </c>
      <c r="D24" s="283" t="s">
        <v>201</v>
      </c>
      <c r="E24" s="286">
        <v>45323</v>
      </c>
      <c r="F24" s="285">
        <v>500000</v>
      </c>
      <c r="G24" s="285">
        <v>585057.76</v>
      </c>
    </row>
    <row r="25" spans="1:7" s="282" customFormat="1" ht="15">
      <c r="A25" s="283">
        <v>106</v>
      </c>
      <c r="B25" s="283" t="s">
        <v>210</v>
      </c>
      <c r="C25" s="283" t="s">
        <v>214</v>
      </c>
      <c r="D25" s="283" t="s">
        <v>202</v>
      </c>
      <c r="E25" s="286">
        <v>45323</v>
      </c>
      <c r="F25" s="285">
        <v>45821.279999999999</v>
      </c>
      <c r="G25" s="285">
        <v>60261.864099999992</v>
      </c>
    </row>
    <row r="26" spans="1:7" s="282" customFormat="1" ht="15">
      <c r="A26" s="283">
        <v>143</v>
      </c>
      <c r="B26" s="283" t="s">
        <v>207</v>
      </c>
      <c r="C26" s="283" t="s">
        <v>219</v>
      </c>
      <c r="D26" s="283" t="s">
        <v>205</v>
      </c>
      <c r="E26" s="286">
        <v>45323</v>
      </c>
      <c r="F26" s="285">
        <v>137879.14000000001</v>
      </c>
      <c r="G26" s="285">
        <v>0</v>
      </c>
    </row>
    <row r="27" spans="1:7" s="282" customFormat="1" ht="15">
      <c r="A27" s="283">
        <v>154</v>
      </c>
      <c r="B27" s="283" t="s">
        <v>206</v>
      </c>
      <c r="C27" s="283" t="s">
        <v>219</v>
      </c>
      <c r="D27" s="283" t="s">
        <v>205</v>
      </c>
      <c r="E27" s="286">
        <v>45323</v>
      </c>
      <c r="F27" s="285">
        <v>68000</v>
      </c>
      <c r="G27" s="285">
        <v>45028.62</v>
      </c>
    </row>
    <row r="28" spans="1:7" s="282" customFormat="1" ht="15">
      <c r="A28" s="283">
        <v>159</v>
      </c>
      <c r="B28" s="283" t="s">
        <v>209</v>
      </c>
      <c r="C28" s="283" t="s">
        <v>215</v>
      </c>
      <c r="D28" s="283" t="s">
        <v>204</v>
      </c>
      <c r="E28" s="286">
        <v>45323</v>
      </c>
      <c r="F28" s="285">
        <v>600000</v>
      </c>
      <c r="G28" s="285">
        <v>544928.13</v>
      </c>
    </row>
    <row r="29" spans="1:7" s="282" customFormat="1" ht="15">
      <c r="A29" s="283">
        <v>162</v>
      </c>
      <c r="B29" s="283" t="s">
        <v>208</v>
      </c>
      <c r="C29" s="283" t="s">
        <v>216</v>
      </c>
      <c r="D29" s="283" t="s">
        <v>203</v>
      </c>
      <c r="E29" s="286">
        <v>45323</v>
      </c>
      <c r="F29" s="285">
        <v>600000</v>
      </c>
      <c r="G29" s="285">
        <v>619086.39</v>
      </c>
    </row>
    <row r="30" spans="1:7" s="282" customFormat="1" ht="15">
      <c r="A30" s="283">
        <v>172</v>
      </c>
      <c r="B30" s="283" t="s">
        <v>248</v>
      </c>
      <c r="C30" s="283" t="s">
        <v>218</v>
      </c>
      <c r="D30" s="283" t="s">
        <v>205</v>
      </c>
      <c r="E30" s="286">
        <v>45323</v>
      </c>
      <c r="F30" s="285">
        <v>0</v>
      </c>
      <c r="G30" s="285">
        <v>3541.48</v>
      </c>
    </row>
    <row r="31" spans="1:7" s="282" customFormat="1" ht="15">
      <c r="A31" s="283">
        <v>172</v>
      </c>
      <c r="B31" s="283" t="s">
        <v>220</v>
      </c>
      <c r="C31" s="283" t="s">
        <v>218</v>
      </c>
      <c r="D31" s="283" t="s">
        <v>205</v>
      </c>
      <c r="E31" s="286">
        <v>45323</v>
      </c>
      <c r="F31" s="285">
        <v>37000</v>
      </c>
      <c r="G31" s="285">
        <v>0</v>
      </c>
    </row>
    <row r="32" spans="1:7" s="282" customFormat="1" ht="15">
      <c r="A32" s="283">
        <v>173</v>
      </c>
      <c r="B32" s="283" t="s">
        <v>221</v>
      </c>
      <c r="C32" s="283" t="s">
        <v>218</v>
      </c>
      <c r="D32" s="283" t="s">
        <v>205</v>
      </c>
      <c r="E32" s="286">
        <v>45323</v>
      </c>
      <c r="F32" s="285">
        <v>75000</v>
      </c>
      <c r="G32" s="285">
        <v>67382.02</v>
      </c>
    </row>
    <row r="33" spans="1:7" s="282" customFormat="1" ht="15">
      <c r="A33" s="283">
        <v>174</v>
      </c>
      <c r="B33" s="283" t="s">
        <v>226</v>
      </c>
      <c r="C33" s="283" t="s">
        <v>222</v>
      </c>
      <c r="D33" s="283" t="s">
        <v>223</v>
      </c>
      <c r="E33" s="286">
        <v>45323</v>
      </c>
      <c r="F33" s="285">
        <v>235000</v>
      </c>
      <c r="G33" s="285">
        <v>216415.35999999999</v>
      </c>
    </row>
    <row r="34" spans="1:7" s="282" customFormat="1" ht="15">
      <c r="A34" s="283">
        <v>175</v>
      </c>
      <c r="B34" s="283" t="s">
        <v>224</v>
      </c>
      <c r="C34" s="283" t="s">
        <v>217</v>
      </c>
      <c r="D34" s="283" t="s">
        <v>225</v>
      </c>
      <c r="E34" s="286">
        <v>45323</v>
      </c>
      <c r="F34" s="285">
        <v>0</v>
      </c>
      <c r="G34" s="285">
        <v>0</v>
      </c>
    </row>
    <row r="35" spans="1:7" s="282" customFormat="1" ht="15">
      <c r="A35" s="283">
        <v>179</v>
      </c>
      <c r="B35" s="283" t="s">
        <v>227</v>
      </c>
      <c r="C35" s="283" t="s">
        <v>217</v>
      </c>
      <c r="D35" s="283" t="s">
        <v>223</v>
      </c>
      <c r="E35" s="286">
        <v>45323</v>
      </c>
      <c r="F35" s="285">
        <v>117500</v>
      </c>
      <c r="G35" s="285">
        <v>119808.63</v>
      </c>
    </row>
    <row r="36" spans="1:7" s="282" customFormat="1" ht="15">
      <c r="A36" s="283">
        <v>183</v>
      </c>
      <c r="B36" s="283" t="s">
        <v>232</v>
      </c>
      <c r="C36" s="283" t="s">
        <v>217</v>
      </c>
      <c r="D36" s="283" t="s">
        <v>225</v>
      </c>
      <c r="E36" s="286">
        <v>45323</v>
      </c>
      <c r="F36" s="285">
        <v>99000</v>
      </c>
      <c r="G36" s="285">
        <v>103633.44</v>
      </c>
    </row>
    <row r="37" spans="1:7" s="282" customFormat="1" ht="15">
      <c r="A37" s="283">
        <v>184</v>
      </c>
      <c r="B37" s="283" t="s">
        <v>265</v>
      </c>
      <c r="C37" s="283" t="s">
        <v>230</v>
      </c>
      <c r="D37" s="283" t="s">
        <v>231</v>
      </c>
      <c r="E37" s="286">
        <v>45323</v>
      </c>
      <c r="F37" s="285">
        <v>170000</v>
      </c>
      <c r="G37" s="285">
        <v>111330.18</v>
      </c>
    </row>
    <row r="38" spans="1:7" s="282" customFormat="1" ht="15">
      <c r="A38" s="283">
        <v>184</v>
      </c>
      <c r="B38" s="283" t="s">
        <v>268</v>
      </c>
      <c r="C38" s="283" t="s">
        <v>230</v>
      </c>
      <c r="D38" s="283" t="s">
        <v>231</v>
      </c>
      <c r="E38" s="286">
        <v>45323</v>
      </c>
      <c r="F38" s="285">
        <v>0</v>
      </c>
      <c r="G38" s="285">
        <v>0</v>
      </c>
    </row>
    <row r="39" spans="1:7" s="282" customFormat="1" ht="15">
      <c r="A39" s="283">
        <v>192</v>
      </c>
      <c r="B39" s="283" t="s">
        <v>259</v>
      </c>
      <c r="C39" s="283" t="s">
        <v>219</v>
      </c>
      <c r="D39" s="283" t="s">
        <v>223</v>
      </c>
      <c r="E39" s="286">
        <v>45323</v>
      </c>
      <c r="F39" s="285">
        <v>0</v>
      </c>
      <c r="G39" s="285">
        <v>0</v>
      </c>
    </row>
    <row r="40" spans="1:7" s="282" customFormat="1" ht="15">
      <c r="A40" s="283">
        <v>196</v>
      </c>
      <c r="B40" s="283" t="s">
        <v>252</v>
      </c>
      <c r="C40" s="283" t="s">
        <v>253</v>
      </c>
      <c r="D40" s="283" t="s">
        <v>223</v>
      </c>
      <c r="E40" s="286">
        <v>45323</v>
      </c>
      <c r="F40" s="285">
        <v>0</v>
      </c>
      <c r="G40" s="285">
        <v>0</v>
      </c>
    </row>
    <row r="41" spans="1:7" s="282" customFormat="1" ht="15">
      <c r="A41" s="283">
        <v>199</v>
      </c>
      <c r="B41" s="283" t="s">
        <v>254</v>
      </c>
      <c r="C41" s="283" t="s">
        <v>255</v>
      </c>
      <c r="D41" s="283" t="s">
        <v>223</v>
      </c>
      <c r="E41" s="286">
        <v>45323</v>
      </c>
      <c r="F41" s="285">
        <v>0</v>
      </c>
      <c r="G41" s="285">
        <v>0</v>
      </c>
    </row>
    <row r="42" spans="1:7" s="282" customFormat="1" ht="15">
      <c r="A42" s="283">
        <v>202</v>
      </c>
      <c r="B42" s="283" t="s">
        <v>262</v>
      </c>
      <c r="C42" s="283" t="s">
        <v>219</v>
      </c>
      <c r="D42" s="283" t="s">
        <v>223</v>
      </c>
      <c r="E42" s="286">
        <v>45323</v>
      </c>
      <c r="F42" s="285">
        <v>0</v>
      </c>
      <c r="G42" s="285">
        <v>0</v>
      </c>
    </row>
    <row r="43" spans="1:7" s="282" customFormat="1" ht="15">
      <c r="A43" s="283">
        <v>208</v>
      </c>
      <c r="B43" s="283" t="s">
        <v>283</v>
      </c>
      <c r="C43" s="283" t="s">
        <v>215</v>
      </c>
      <c r="D43" s="283" t="s">
        <v>231</v>
      </c>
      <c r="E43" s="286">
        <v>45323</v>
      </c>
      <c r="F43" s="285">
        <v>0</v>
      </c>
      <c r="G43" s="285">
        <v>0</v>
      </c>
    </row>
    <row r="44" spans="1:7" s="282" customFormat="1" ht="15">
      <c r="A44" s="283">
        <v>100</v>
      </c>
      <c r="B44" s="283" t="s">
        <v>211</v>
      </c>
      <c r="C44" s="283" t="s">
        <v>213</v>
      </c>
      <c r="D44" s="283" t="s">
        <v>201</v>
      </c>
      <c r="E44" s="286">
        <v>45352</v>
      </c>
      <c r="F44" s="285">
        <v>175000</v>
      </c>
      <c r="G44" s="285">
        <v>238188.37</v>
      </c>
    </row>
    <row r="45" spans="1:7" s="282" customFormat="1" ht="15">
      <c r="A45" s="283">
        <v>100</v>
      </c>
      <c r="B45" s="283" t="s">
        <v>212</v>
      </c>
      <c r="C45" s="283" t="s">
        <v>213</v>
      </c>
      <c r="D45" s="283" t="s">
        <v>201</v>
      </c>
      <c r="E45" s="286">
        <v>45352</v>
      </c>
      <c r="F45" s="285">
        <v>325000</v>
      </c>
      <c r="G45" s="285">
        <v>356934.97</v>
      </c>
    </row>
    <row r="46" spans="1:7" s="282" customFormat="1" ht="15">
      <c r="A46" s="283">
        <v>106</v>
      </c>
      <c r="B46" s="283" t="s">
        <v>210</v>
      </c>
      <c r="C46" s="283" t="s">
        <v>214</v>
      </c>
      <c r="D46" s="283" t="s">
        <v>202</v>
      </c>
      <c r="E46" s="286">
        <v>45352</v>
      </c>
      <c r="F46" s="285">
        <v>900000</v>
      </c>
      <c r="G46" s="285">
        <v>947012.1</v>
      </c>
    </row>
    <row r="47" spans="1:7" s="282" customFormat="1" ht="15">
      <c r="A47" s="283">
        <v>143</v>
      </c>
      <c r="B47" s="283" t="s">
        <v>207</v>
      </c>
      <c r="C47" s="283" t="s">
        <v>219</v>
      </c>
      <c r="D47" s="283" t="s">
        <v>205</v>
      </c>
      <c r="E47" s="286">
        <v>45352</v>
      </c>
      <c r="F47" s="285">
        <v>137879.14000000001</v>
      </c>
      <c r="G47" s="285">
        <v>0</v>
      </c>
    </row>
    <row r="48" spans="1:7" s="282" customFormat="1" ht="15">
      <c r="A48" s="283">
        <v>154</v>
      </c>
      <c r="B48" s="283" t="s">
        <v>206</v>
      </c>
      <c r="C48" s="283" t="s">
        <v>219</v>
      </c>
      <c r="D48" s="283" t="s">
        <v>205</v>
      </c>
      <c r="E48" s="286">
        <v>45352</v>
      </c>
      <c r="F48" s="285">
        <v>80000</v>
      </c>
      <c r="G48" s="285">
        <v>82782.080000000002</v>
      </c>
    </row>
    <row r="49" spans="1:7" s="282" customFormat="1" ht="15">
      <c r="A49" s="283">
        <v>159</v>
      </c>
      <c r="B49" s="283" t="s">
        <v>209</v>
      </c>
      <c r="C49" s="283" t="s">
        <v>215</v>
      </c>
      <c r="D49" s="283" t="s">
        <v>204</v>
      </c>
      <c r="E49" s="286">
        <v>45352</v>
      </c>
      <c r="F49" s="285">
        <v>395000</v>
      </c>
      <c r="G49" s="285">
        <v>363811.19</v>
      </c>
    </row>
    <row r="50" spans="1:7" s="282" customFormat="1" ht="15">
      <c r="A50" s="283">
        <v>162</v>
      </c>
      <c r="B50" s="283" t="s">
        <v>208</v>
      </c>
      <c r="C50" s="283" t="s">
        <v>216</v>
      </c>
      <c r="D50" s="283" t="s">
        <v>203</v>
      </c>
      <c r="E50" s="286">
        <v>45352</v>
      </c>
      <c r="F50" s="285">
        <v>170000</v>
      </c>
      <c r="G50" s="285">
        <v>84845.95</v>
      </c>
    </row>
    <row r="51" spans="1:7" s="282" customFormat="1" ht="15">
      <c r="A51" s="283">
        <v>172</v>
      </c>
      <c r="B51" s="283" t="s">
        <v>248</v>
      </c>
      <c r="C51" s="283" t="s">
        <v>218</v>
      </c>
      <c r="D51" s="283" t="s">
        <v>205</v>
      </c>
      <c r="E51" s="286">
        <v>45352</v>
      </c>
      <c r="F51" s="285">
        <v>0</v>
      </c>
      <c r="G51" s="285">
        <v>0</v>
      </c>
    </row>
    <row r="52" spans="1:7" s="282" customFormat="1" ht="15">
      <c r="A52" s="283">
        <v>172</v>
      </c>
      <c r="B52" s="283" t="s">
        <v>220</v>
      </c>
      <c r="C52" s="283" t="s">
        <v>218</v>
      </c>
      <c r="D52" s="283" t="s">
        <v>205</v>
      </c>
      <c r="E52" s="286">
        <v>45352</v>
      </c>
      <c r="F52" s="285">
        <v>53500</v>
      </c>
      <c r="G52" s="285">
        <v>58229.89</v>
      </c>
    </row>
    <row r="53" spans="1:7" s="282" customFormat="1" ht="15">
      <c r="A53" s="283">
        <v>173</v>
      </c>
      <c r="B53" s="283" t="s">
        <v>221</v>
      </c>
      <c r="C53" s="283" t="s">
        <v>218</v>
      </c>
      <c r="D53" s="283" t="s">
        <v>205</v>
      </c>
      <c r="E53" s="286">
        <v>45352</v>
      </c>
      <c r="F53" s="285">
        <v>44500</v>
      </c>
      <c r="G53" s="285">
        <v>0</v>
      </c>
    </row>
    <row r="54" spans="1:7" s="282" customFormat="1" ht="15">
      <c r="A54" s="283">
        <v>174</v>
      </c>
      <c r="B54" s="283" t="s">
        <v>226</v>
      </c>
      <c r="C54" s="283" t="s">
        <v>222</v>
      </c>
      <c r="D54" s="283" t="s">
        <v>223</v>
      </c>
      <c r="E54" s="286">
        <v>45352</v>
      </c>
      <c r="F54" s="285">
        <v>210000</v>
      </c>
      <c r="G54" s="285">
        <v>200437.91</v>
      </c>
    </row>
    <row r="55" spans="1:7" s="282" customFormat="1" ht="15">
      <c r="A55" s="283">
        <v>175</v>
      </c>
      <c r="B55" s="283" t="s">
        <v>224</v>
      </c>
      <c r="C55" s="283" t="s">
        <v>217</v>
      </c>
      <c r="D55" s="283" t="s">
        <v>225</v>
      </c>
      <c r="E55" s="286">
        <v>45352</v>
      </c>
      <c r="F55" s="285">
        <v>0</v>
      </c>
      <c r="G55" s="285">
        <v>0</v>
      </c>
    </row>
    <row r="56" spans="1:7" s="282" customFormat="1" ht="15">
      <c r="A56" s="283">
        <v>183</v>
      </c>
      <c r="B56" s="283" t="s">
        <v>232</v>
      </c>
      <c r="C56" s="283" t="s">
        <v>217</v>
      </c>
      <c r="D56" s="283" t="s">
        <v>225</v>
      </c>
      <c r="E56" s="286">
        <v>45352</v>
      </c>
      <c r="F56" s="285">
        <v>215000</v>
      </c>
      <c r="G56" s="285">
        <v>102277.71</v>
      </c>
    </row>
    <row r="57" spans="1:7" s="282" customFormat="1" ht="15">
      <c r="A57" s="283">
        <v>184</v>
      </c>
      <c r="B57" s="283" t="s">
        <v>265</v>
      </c>
      <c r="C57" s="283" t="s">
        <v>230</v>
      </c>
      <c r="D57" s="283" t="s">
        <v>231</v>
      </c>
      <c r="E57" s="286">
        <v>45352</v>
      </c>
      <c r="F57" s="285">
        <v>245563.89300000001</v>
      </c>
      <c r="G57" s="285">
        <v>245563.89300000001</v>
      </c>
    </row>
    <row r="58" spans="1:7" s="282" customFormat="1" ht="15">
      <c r="A58" s="283">
        <v>184</v>
      </c>
      <c r="B58" s="283" t="s">
        <v>268</v>
      </c>
      <c r="C58" s="283" t="s">
        <v>230</v>
      </c>
      <c r="D58" s="283" t="s">
        <v>231</v>
      </c>
      <c r="E58" s="286">
        <v>45352</v>
      </c>
      <c r="F58" s="285">
        <v>75784.38</v>
      </c>
      <c r="G58" s="285">
        <v>75784.38</v>
      </c>
    </row>
    <row r="59" spans="1:7" s="282" customFormat="1" ht="15">
      <c r="A59" s="283">
        <v>100</v>
      </c>
      <c r="B59" s="283" t="s">
        <v>211</v>
      </c>
      <c r="C59" s="283" t="s">
        <v>213</v>
      </c>
      <c r="D59" s="283" t="s">
        <v>201</v>
      </c>
      <c r="E59" s="286">
        <v>45383</v>
      </c>
      <c r="F59" s="285">
        <v>115000</v>
      </c>
      <c r="G59" s="285">
        <v>238188.37</v>
      </c>
    </row>
    <row r="60" spans="1:7" s="282" customFormat="1" ht="15">
      <c r="A60" s="283">
        <v>100</v>
      </c>
      <c r="B60" s="283" t="s">
        <v>212</v>
      </c>
      <c r="C60" s="283" t="s">
        <v>213</v>
      </c>
      <c r="D60" s="283" t="s">
        <v>201</v>
      </c>
      <c r="E60" s="286">
        <v>45383</v>
      </c>
      <c r="F60" s="285">
        <v>50000</v>
      </c>
      <c r="G60" s="285">
        <v>145931.41999999998</v>
      </c>
    </row>
    <row r="61" spans="1:7" s="282" customFormat="1" ht="15">
      <c r="A61" s="283">
        <v>106</v>
      </c>
      <c r="B61" s="283" t="s">
        <v>210</v>
      </c>
      <c r="C61" s="283" t="s">
        <v>214</v>
      </c>
      <c r="D61" s="283" t="s">
        <v>202</v>
      </c>
      <c r="E61" s="286">
        <v>45383</v>
      </c>
      <c r="F61" s="285">
        <v>431000</v>
      </c>
      <c r="G61" s="285">
        <v>540628.35999999987</v>
      </c>
    </row>
    <row r="62" spans="1:7" s="282" customFormat="1" ht="15">
      <c r="A62" s="283">
        <v>143</v>
      </c>
      <c r="B62" s="283" t="s">
        <v>207</v>
      </c>
      <c r="C62" s="283" t="s">
        <v>219</v>
      </c>
      <c r="D62" s="283" t="s">
        <v>205</v>
      </c>
      <c r="E62" s="286">
        <v>45383</v>
      </c>
      <c r="F62" s="285">
        <v>0</v>
      </c>
      <c r="G62" s="285">
        <v>0</v>
      </c>
    </row>
    <row r="63" spans="1:7" s="282" customFormat="1" ht="15">
      <c r="A63" s="283">
        <v>154</v>
      </c>
      <c r="B63" s="283" t="s">
        <v>206</v>
      </c>
      <c r="C63" s="283" t="s">
        <v>219</v>
      </c>
      <c r="D63" s="283" t="s">
        <v>205</v>
      </c>
      <c r="E63" s="286">
        <v>45383</v>
      </c>
      <c r="F63" s="285">
        <v>0</v>
      </c>
      <c r="G63" s="285">
        <v>0</v>
      </c>
    </row>
    <row r="64" spans="1:7" s="282" customFormat="1" ht="15">
      <c r="A64" s="283">
        <v>159</v>
      </c>
      <c r="B64" s="283" t="s">
        <v>209</v>
      </c>
      <c r="C64" s="283" t="s">
        <v>215</v>
      </c>
      <c r="D64" s="283" t="s">
        <v>204</v>
      </c>
      <c r="E64" s="286">
        <v>45383</v>
      </c>
      <c r="F64" s="285">
        <v>220000</v>
      </c>
      <c r="G64" s="285">
        <v>217761.50584500001</v>
      </c>
    </row>
    <row r="65" spans="1:7" s="282" customFormat="1" ht="15">
      <c r="A65" s="283">
        <v>162</v>
      </c>
      <c r="B65" s="283" t="s">
        <v>208</v>
      </c>
      <c r="C65" s="283" t="s">
        <v>216</v>
      </c>
      <c r="D65" s="283" t="s">
        <v>203</v>
      </c>
      <c r="E65" s="286">
        <v>45383</v>
      </c>
      <c r="F65" s="285">
        <v>220000</v>
      </c>
      <c r="G65" s="285">
        <v>221678.09999999998</v>
      </c>
    </row>
    <row r="66" spans="1:7" s="282" customFormat="1" ht="15">
      <c r="A66" s="283">
        <v>172</v>
      </c>
      <c r="B66" s="283" t="s">
        <v>248</v>
      </c>
      <c r="C66" s="283" t="s">
        <v>218</v>
      </c>
      <c r="D66" s="283" t="s">
        <v>205</v>
      </c>
      <c r="E66" s="286">
        <v>45383</v>
      </c>
      <c r="F66" s="285">
        <v>0</v>
      </c>
      <c r="G66" s="285">
        <v>0</v>
      </c>
    </row>
    <row r="67" spans="1:7" s="282" customFormat="1" ht="15">
      <c r="A67" s="283">
        <v>172</v>
      </c>
      <c r="B67" s="283" t="s">
        <v>220</v>
      </c>
      <c r="C67" s="283" t="s">
        <v>218</v>
      </c>
      <c r="D67" s="283" t="s">
        <v>205</v>
      </c>
      <c r="E67" s="286">
        <v>45383</v>
      </c>
      <c r="F67" s="285">
        <v>0</v>
      </c>
      <c r="G67" s="285">
        <v>0</v>
      </c>
    </row>
    <row r="68" spans="1:7" s="282" customFormat="1" ht="15">
      <c r="A68" s="283">
        <v>173</v>
      </c>
      <c r="B68" s="283" t="s">
        <v>221</v>
      </c>
      <c r="C68" s="283" t="s">
        <v>218</v>
      </c>
      <c r="D68" s="283" t="s">
        <v>205</v>
      </c>
      <c r="E68" s="286">
        <v>45383</v>
      </c>
      <c r="F68" s="285">
        <v>40000</v>
      </c>
      <c r="G68" s="285">
        <v>0</v>
      </c>
    </row>
    <row r="69" spans="1:7" s="282" customFormat="1" ht="15">
      <c r="A69" s="283">
        <v>174</v>
      </c>
      <c r="B69" s="283" t="s">
        <v>226</v>
      </c>
      <c r="C69" s="283" t="s">
        <v>222</v>
      </c>
      <c r="D69" s="283" t="s">
        <v>223</v>
      </c>
      <c r="E69" s="286">
        <v>45383</v>
      </c>
      <c r="F69" s="285">
        <v>227133</v>
      </c>
      <c r="G69" s="285">
        <v>227113.1</v>
      </c>
    </row>
    <row r="70" spans="1:7" s="282" customFormat="1" ht="15">
      <c r="A70" s="283">
        <v>175</v>
      </c>
      <c r="B70" s="283" t="s">
        <v>224</v>
      </c>
      <c r="C70" s="283" t="s">
        <v>217</v>
      </c>
      <c r="D70" s="283" t="s">
        <v>225</v>
      </c>
      <c r="E70" s="286">
        <v>45383</v>
      </c>
      <c r="F70" s="285">
        <v>100000</v>
      </c>
      <c r="G70" s="285">
        <v>150656.29</v>
      </c>
    </row>
    <row r="71" spans="1:7" s="282" customFormat="1" ht="15">
      <c r="A71" s="283">
        <v>183</v>
      </c>
      <c r="B71" s="283" t="s">
        <v>232</v>
      </c>
      <c r="C71" s="283" t="s">
        <v>217</v>
      </c>
      <c r="D71" s="283" t="s">
        <v>225</v>
      </c>
      <c r="E71" s="286">
        <v>45383</v>
      </c>
      <c r="F71" s="285">
        <v>120000</v>
      </c>
      <c r="G71" s="285">
        <v>197040.23</v>
      </c>
    </row>
    <row r="72" spans="1:7" s="282" customFormat="1" ht="15">
      <c r="A72" s="283">
        <v>184</v>
      </c>
      <c r="B72" s="283" t="s">
        <v>265</v>
      </c>
      <c r="C72" s="283" t="s">
        <v>230</v>
      </c>
      <c r="D72" s="283" t="s">
        <v>231</v>
      </c>
      <c r="E72" s="286">
        <v>45383</v>
      </c>
      <c r="F72" s="285">
        <v>285270.63</v>
      </c>
      <c r="G72" s="285">
        <v>285270.63</v>
      </c>
    </row>
    <row r="73" spans="1:7" s="282" customFormat="1" ht="15">
      <c r="A73" s="283">
        <v>184</v>
      </c>
      <c r="B73" s="283" t="s">
        <v>268</v>
      </c>
      <c r="C73" s="283" t="s">
        <v>230</v>
      </c>
      <c r="D73" s="283" t="s">
        <v>231</v>
      </c>
      <c r="E73" s="286">
        <v>45383</v>
      </c>
      <c r="F73" s="285">
        <v>162406.81200000001</v>
      </c>
      <c r="G73" s="285">
        <v>162406.81200000001</v>
      </c>
    </row>
    <row r="74" spans="1:7" s="282" customFormat="1" ht="15">
      <c r="A74" s="283">
        <v>100</v>
      </c>
      <c r="B74" s="283" t="s">
        <v>211</v>
      </c>
      <c r="C74" s="283" t="s">
        <v>213</v>
      </c>
      <c r="D74" s="283" t="s">
        <v>201</v>
      </c>
      <c r="E74" s="286">
        <v>45413</v>
      </c>
      <c r="F74" s="285">
        <v>200000</v>
      </c>
      <c r="G74" s="285">
        <v>354455.87</v>
      </c>
    </row>
    <row r="75" spans="1:7" s="282" customFormat="1" ht="15">
      <c r="A75" s="283">
        <v>100</v>
      </c>
      <c r="B75" s="283" t="s">
        <v>212</v>
      </c>
      <c r="C75" s="283" t="s">
        <v>213</v>
      </c>
      <c r="D75" s="283" t="s">
        <v>201</v>
      </c>
      <c r="E75" s="286">
        <v>45413</v>
      </c>
      <c r="F75" s="285">
        <v>45000</v>
      </c>
      <c r="G75" s="285">
        <v>91801.39</v>
      </c>
    </row>
    <row r="76" spans="1:7" s="282" customFormat="1" ht="15">
      <c r="A76" s="283">
        <v>106</v>
      </c>
      <c r="B76" s="283" t="s">
        <v>210</v>
      </c>
      <c r="C76" s="283" t="s">
        <v>214</v>
      </c>
      <c r="D76" s="283" t="s">
        <v>202</v>
      </c>
      <c r="E76" s="286">
        <v>45413</v>
      </c>
      <c r="F76" s="285">
        <v>348402</v>
      </c>
      <c r="G76" s="285">
        <v>396477.70000000007</v>
      </c>
    </row>
    <row r="77" spans="1:7" s="282" customFormat="1" ht="15">
      <c r="A77" s="283">
        <v>143</v>
      </c>
      <c r="B77" s="283" t="s">
        <v>207</v>
      </c>
      <c r="C77" s="283" t="s">
        <v>219</v>
      </c>
      <c r="D77" s="283" t="s">
        <v>205</v>
      </c>
      <c r="E77" s="286">
        <v>45413</v>
      </c>
      <c r="F77" s="285">
        <v>0</v>
      </c>
      <c r="G77" s="285">
        <v>0</v>
      </c>
    </row>
    <row r="78" spans="1:7" s="282" customFormat="1" ht="15">
      <c r="A78" s="283">
        <v>154</v>
      </c>
      <c r="B78" s="283" t="s">
        <v>206</v>
      </c>
      <c r="C78" s="283" t="s">
        <v>219</v>
      </c>
      <c r="D78" s="283" t="s">
        <v>205</v>
      </c>
      <c r="E78" s="286">
        <v>45413</v>
      </c>
      <c r="F78" s="285">
        <v>175000</v>
      </c>
      <c r="G78" s="285">
        <v>82782.080000000002</v>
      </c>
    </row>
    <row r="79" spans="1:7" s="282" customFormat="1" ht="15">
      <c r="A79" s="283">
        <v>159</v>
      </c>
      <c r="B79" s="283" t="s">
        <v>209</v>
      </c>
      <c r="C79" s="283" t="s">
        <v>215</v>
      </c>
      <c r="D79" s="283" t="s">
        <v>204</v>
      </c>
      <c r="E79" s="286">
        <v>45413</v>
      </c>
      <c r="F79" s="285">
        <v>575296.35</v>
      </c>
      <c r="G79" s="285">
        <v>1282789.71</v>
      </c>
    </row>
    <row r="80" spans="1:7" s="282" customFormat="1" ht="15">
      <c r="A80" s="283">
        <v>162</v>
      </c>
      <c r="B80" s="283" t="s">
        <v>208</v>
      </c>
      <c r="C80" s="283" t="s">
        <v>216</v>
      </c>
      <c r="D80" s="283" t="s">
        <v>203</v>
      </c>
      <c r="E80" s="286">
        <v>45413</v>
      </c>
      <c r="F80" s="285">
        <v>130000</v>
      </c>
      <c r="G80" s="285">
        <v>147703.52000000002</v>
      </c>
    </row>
    <row r="81" spans="1:7" s="282" customFormat="1" ht="15">
      <c r="A81" s="283">
        <v>172</v>
      </c>
      <c r="B81" s="283" t="s">
        <v>248</v>
      </c>
      <c r="C81" s="283" t="s">
        <v>218</v>
      </c>
      <c r="D81" s="283" t="s">
        <v>205</v>
      </c>
      <c r="E81" s="286">
        <v>45413</v>
      </c>
      <c r="F81" s="285">
        <v>0</v>
      </c>
      <c r="G81" s="285">
        <v>0</v>
      </c>
    </row>
    <row r="82" spans="1:7" s="282" customFormat="1" ht="15">
      <c r="A82" s="283">
        <v>172</v>
      </c>
      <c r="B82" s="283" t="s">
        <v>220</v>
      </c>
      <c r="C82" s="283" t="s">
        <v>218</v>
      </c>
      <c r="D82" s="283" t="s">
        <v>205</v>
      </c>
      <c r="E82" s="286">
        <v>45413</v>
      </c>
      <c r="F82" s="285">
        <v>0</v>
      </c>
      <c r="G82" s="285">
        <v>0</v>
      </c>
    </row>
    <row r="83" spans="1:7" s="282" customFormat="1" ht="15">
      <c r="A83" s="283">
        <v>173</v>
      </c>
      <c r="B83" s="283" t="s">
        <v>221</v>
      </c>
      <c r="C83" s="283" t="s">
        <v>218</v>
      </c>
      <c r="D83" s="283" t="s">
        <v>205</v>
      </c>
      <c r="E83" s="286">
        <v>45413</v>
      </c>
      <c r="F83" s="285">
        <v>70000</v>
      </c>
      <c r="G83" s="285">
        <v>63182.369999999995</v>
      </c>
    </row>
    <row r="84" spans="1:7" s="282" customFormat="1" ht="15">
      <c r="A84" s="283">
        <v>174</v>
      </c>
      <c r="B84" s="283" t="s">
        <v>226</v>
      </c>
      <c r="C84" s="283" t="s">
        <v>222</v>
      </c>
      <c r="D84" s="283" t="s">
        <v>223</v>
      </c>
      <c r="E84" s="286">
        <v>45413</v>
      </c>
      <c r="F84" s="285">
        <v>165000</v>
      </c>
      <c r="G84" s="285">
        <v>112614.42</v>
      </c>
    </row>
    <row r="85" spans="1:7" s="282" customFormat="1" ht="15">
      <c r="A85" s="283">
        <v>175</v>
      </c>
      <c r="B85" s="283" t="s">
        <v>224</v>
      </c>
      <c r="C85" s="283" t="s">
        <v>217</v>
      </c>
      <c r="D85" s="283" t="s">
        <v>225</v>
      </c>
      <c r="E85" s="286">
        <v>45413</v>
      </c>
      <c r="F85" s="285">
        <v>866729.56</v>
      </c>
      <c r="G85" s="285">
        <v>866729.56</v>
      </c>
    </row>
    <row r="86" spans="1:7" s="282" customFormat="1" ht="15">
      <c r="A86" s="283">
        <v>183</v>
      </c>
      <c r="B86" s="283" t="s">
        <v>232</v>
      </c>
      <c r="C86" s="283" t="s">
        <v>217</v>
      </c>
      <c r="D86" s="283" t="s">
        <v>225</v>
      </c>
      <c r="E86" s="286">
        <v>45413</v>
      </c>
      <c r="F86" s="285">
        <v>300000</v>
      </c>
      <c r="G86" s="285">
        <v>307763.19</v>
      </c>
    </row>
    <row r="87" spans="1:7" s="282" customFormat="1" ht="15">
      <c r="A87" s="283">
        <v>184</v>
      </c>
      <c r="B87" s="283" t="s">
        <v>265</v>
      </c>
      <c r="C87" s="283" t="s">
        <v>230</v>
      </c>
      <c r="D87" s="283" t="s">
        <v>231</v>
      </c>
      <c r="E87" s="286">
        <v>45413</v>
      </c>
      <c r="F87" s="285">
        <v>82709.63</v>
      </c>
      <c r="G87" s="285">
        <v>82709.63</v>
      </c>
    </row>
    <row r="88" spans="1:7" s="282" customFormat="1" ht="15">
      <c r="A88" s="283">
        <v>184</v>
      </c>
      <c r="B88" s="283" t="s">
        <v>268</v>
      </c>
      <c r="C88" s="283" t="s">
        <v>230</v>
      </c>
      <c r="D88" s="283" t="s">
        <v>231</v>
      </c>
      <c r="E88" s="286">
        <v>45413</v>
      </c>
      <c r="F88" s="285">
        <v>193784.36000000002</v>
      </c>
      <c r="G88" s="285">
        <v>193784.36000000002</v>
      </c>
    </row>
    <row r="89" spans="1:7" s="282" customFormat="1" ht="15">
      <c r="A89" s="283">
        <v>192</v>
      </c>
      <c r="B89" s="283" t="s">
        <v>259</v>
      </c>
      <c r="C89" s="283" t="s">
        <v>219</v>
      </c>
      <c r="D89" s="283" t="s">
        <v>223</v>
      </c>
      <c r="E89" s="286">
        <v>45413</v>
      </c>
      <c r="F89" s="285">
        <v>25000</v>
      </c>
      <c r="G89" s="285">
        <v>25843.38</v>
      </c>
    </row>
    <row r="90" spans="1:7" s="282" customFormat="1" ht="15">
      <c r="A90" s="283">
        <v>196</v>
      </c>
      <c r="B90" s="283" t="s">
        <v>252</v>
      </c>
      <c r="C90" s="283" t="s">
        <v>253</v>
      </c>
      <c r="D90" s="283" t="s">
        <v>223</v>
      </c>
      <c r="E90" s="286">
        <v>45413</v>
      </c>
      <c r="F90" s="285">
        <v>41549.129999999997</v>
      </c>
      <c r="G90" s="285">
        <v>41549.129999999997</v>
      </c>
    </row>
    <row r="91" spans="1:7" s="282" customFormat="1" ht="15">
      <c r="A91" s="283">
        <v>100</v>
      </c>
      <c r="B91" s="283" t="s">
        <v>211</v>
      </c>
      <c r="C91" s="283" t="s">
        <v>213</v>
      </c>
      <c r="D91" s="283" t="s">
        <v>201</v>
      </c>
      <c r="E91" s="286">
        <v>45444</v>
      </c>
      <c r="F91" s="285">
        <v>69000</v>
      </c>
      <c r="G91" s="285">
        <v>66846.62</v>
      </c>
    </row>
    <row r="92" spans="1:7" s="282" customFormat="1" ht="15">
      <c r="A92" s="283">
        <v>100</v>
      </c>
      <c r="B92" s="283" t="s">
        <v>212</v>
      </c>
      <c r="C92" s="283" t="s">
        <v>213</v>
      </c>
      <c r="D92" s="283" t="s">
        <v>201</v>
      </c>
      <c r="E92" s="286">
        <v>45444</v>
      </c>
      <c r="F92" s="285">
        <v>230000</v>
      </c>
      <c r="G92" s="285">
        <v>225588.27</v>
      </c>
    </row>
    <row r="93" spans="1:7" s="282" customFormat="1" ht="15">
      <c r="A93" s="283">
        <v>106</v>
      </c>
      <c r="B93" s="283" t="s">
        <v>210</v>
      </c>
      <c r="C93" s="283" t="s">
        <v>214</v>
      </c>
      <c r="D93" s="283" t="s">
        <v>202</v>
      </c>
      <c r="E93" s="286">
        <v>45444</v>
      </c>
      <c r="F93" s="285">
        <v>1650000</v>
      </c>
      <c r="G93" s="285">
        <v>1396819.4600000002</v>
      </c>
    </row>
    <row r="94" spans="1:7" s="282" customFormat="1" ht="15">
      <c r="A94" s="283">
        <v>143</v>
      </c>
      <c r="B94" s="283" t="s">
        <v>207</v>
      </c>
      <c r="C94" s="283" t="s">
        <v>219</v>
      </c>
      <c r="D94" s="283" t="s">
        <v>205</v>
      </c>
      <c r="E94" s="286">
        <v>45444</v>
      </c>
      <c r="F94" s="285">
        <v>0</v>
      </c>
      <c r="G94" s="285">
        <v>0</v>
      </c>
    </row>
    <row r="95" spans="1:7" s="282" customFormat="1" ht="15">
      <c r="A95" s="283">
        <v>154</v>
      </c>
      <c r="B95" s="283" t="s">
        <v>206</v>
      </c>
      <c r="C95" s="283" t="s">
        <v>219</v>
      </c>
      <c r="D95" s="283" t="s">
        <v>205</v>
      </c>
      <c r="E95" s="286">
        <v>45444</v>
      </c>
      <c r="F95" s="285">
        <v>142915.01</v>
      </c>
      <c r="G95" s="285">
        <v>142915.01</v>
      </c>
    </row>
    <row r="96" spans="1:7" s="282" customFormat="1" ht="15">
      <c r="A96" s="283">
        <v>159</v>
      </c>
      <c r="B96" s="283" t="s">
        <v>209</v>
      </c>
      <c r="C96" s="283" t="s">
        <v>215</v>
      </c>
      <c r="D96" s="283" t="s">
        <v>204</v>
      </c>
      <c r="E96" s="286">
        <v>45444</v>
      </c>
      <c r="F96" s="285">
        <v>980000</v>
      </c>
      <c r="G96" s="285">
        <v>983103.89270199998</v>
      </c>
    </row>
    <row r="97" spans="1:7" s="282" customFormat="1" ht="15">
      <c r="A97" s="283">
        <v>162</v>
      </c>
      <c r="B97" s="283" t="s">
        <v>208</v>
      </c>
      <c r="C97" s="283" t="s">
        <v>216</v>
      </c>
      <c r="D97" s="283" t="s">
        <v>203</v>
      </c>
      <c r="E97" s="286">
        <v>45444</v>
      </c>
      <c r="F97" s="285">
        <v>80000</v>
      </c>
      <c r="G97" s="285">
        <v>88605.73</v>
      </c>
    </row>
    <row r="98" spans="1:7" s="282" customFormat="1" ht="15">
      <c r="A98" s="283">
        <v>174</v>
      </c>
      <c r="B98" s="283" t="s">
        <v>226</v>
      </c>
      <c r="C98" s="283" t="s">
        <v>222</v>
      </c>
      <c r="D98" s="283" t="s">
        <v>223</v>
      </c>
      <c r="E98" s="286">
        <v>45444</v>
      </c>
      <c r="F98" s="285">
        <v>125000</v>
      </c>
      <c r="G98" s="285">
        <v>142016.9</v>
      </c>
    </row>
    <row r="99" spans="1:7" s="282" customFormat="1" ht="15">
      <c r="A99" s="283">
        <v>175</v>
      </c>
      <c r="B99" s="283" t="s">
        <v>224</v>
      </c>
      <c r="C99" s="283" t="s">
        <v>217</v>
      </c>
      <c r="D99" s="283" t="s">
        <v>225</v>
      </c>
      <c r="E99" s="286">
        <v>45444</v>
      </c>
      <c r="F99" s="285">
        <v>1500000</v>
      </c>
      <c r="G99" s="285">
        <v>2325113.52</v>
      </c>
    </row>
    <row r="100" spans="1:7" s="282" customFormat="1" ht="15">
      <c r="A100" s="283">
        <v>183</v>
      </c>
      <c r="B100" s="283" t="s">
        <v>232</v>
      </c>
      <c r="C100" s="283" t="s">
        <v>217</v>
      </c>
      <c r="D100" s="283" t="s">
        <v>225</v>
      </c>
      <c r="E100" s="286">
        <v>45444</v>
      </c>
      <c r="F100" s="285">
        <v>20000</v>
      </c>
      <c r="G100" s="285">
        <v>21444.47</v>
      </c>
    </row>
    <row r="101" spans="1:7" s="282" customFormat="1" ht="15">
      <c r="A101" s="283">
        <v>184</v>
      </c>
      <c r="B101" s="283" t="s">
        <v>265</v>
      </c>
      <c r="C101" s="283" t="s">
        <v>230</v>
      </c>
      <c r="D101" s="283" t="s">
        <v>231</v>
      </c>
      <c r="E101" s="286">
        <v>45444</v>
      </c>
      <c r="F101" s="285">
        <v>200000</v>
      </c>
      <c r="G101" s="285">
        <v>363722.98</v>
      </c>
    </row>
    <row r="102" spans="1:7" s="282" customFormat="1" ht="15">
      <c r="A102" s="283">
        <v>184</v>
      </c>
      <c r="B102" s="283" t="s">
        <v>268</v>
      </c>
      <c r="C102" s="283" t="s">
        <v>230</v>
      </c>
      <c r="D102" s="283" t="s">
        <v>231</v>
      </c>
      <c r="E102" s="286">
        <v>45444</v>
      </c>
      <c r="F102" s="285">
        <v>200000</v>
      </c>
      <c r="G102" s="285">
        <v>321415.27</v>
      </c>
    </row>
    <row r="103" spans="1:7" s="282" customFormat="1" ht="15">
      <c r="A103" s="283">
        <v>192</v>
      </c>
      <c r="B103" s="283" t="s">
        <v>259</v>
      </c>
      <c r="C103" s="283" t="s">
        <v>219</v>
      </c>
      <c r="D103" s="283" t="s">
        <v>223</v>
      </c>
      <c r="E103" s="286">
        <v>45444</v>
      </c>
      <c r="F103" s="285">
        <v>50000</v>
      </c>
      <c r="G103" s="285">
        <v>101931.53</v>
      </c>
    </row>
    <row r="104" spans="1:7" s="282" customFormat="1" ht="15">
      <c r="A104" s="283">
        <v>196</v>
      </c>
      <c r="B104" s="283" t="s">
        <v>252</v>
      </c>
      <c r="C104" s="283" t="s">
        <v>253</v>
      </c>
      <c r="D104" s="283" t="s">
        <v>223</v>
      </c>
      <c r="E104" s="286">
        <v>45444</v>
      </c>
      <c r="F104" s="285">
        <v>30000</v>
      </c>
      <c r="G104" s="285">
        <v>48928.1</v>
      </c>
    </row>
    <row r="105" spans="1:7" s="282" customFormat="1" ht="15">
      <c r="A105" s="283">
        <v>199</v>
      </c>
      <c r="B105" s="283" t="s">
        <v>254</v>
      </c>
      <c r="C105" s="283" t="s">
        <v>255</v>
      </c>
      <c r="D105" s="283" t="s">
        <v>223</v>
      </c>
      <c r="E105" s="286">
        <v>45444</v>
      </c>
      <c r="F105" s="285">
        <v>32599.55</v>
      </c>
      <c r="G105" s="285">
        <v>32599.55</v>
      </c>
    </row>
    <row r="106" spans="1:7" s="282" customFormat="1" ht="15">
      <c r="A106" s="283">
        <v>106</v>
      </c>
      <c r="B106" s="283" t="s">
        <v>210</v>
      </c>
      <c r="C106" s="283" t="s">
        <v>214</v>
      </c>
      <c r="D106" s="283" t="s">
        <v>202</v>
      </c>
      <c r="E106" s="286">
        <v>45474</v>
      </c>
      <c r="F106" s="285">
        <v>1200000</v>
      </c>
      <c r="G106" s="285">
        <v>1250535.1300000001</v>
      </c>
    </row>
    <row r="107" spans="1:7" s="282" customFormat="1" ht="15">
      <c r="A107" s="283">
        <v>143</v>
      </c>
      <c r="B107" s="283" t="s">
        <v>207</v>
      </c>
      <c r="C107" s="283" t="s">
        <v>219</v>
      </c>
      <c r="D107" s="283" t="s">
        <v>205</v>
      </c>
      <c r="E107" s="286">
        <v>45474</v>
      </c>
      <c r="F107" s="285">
        <v>0</v>
      </c>
      <c r="G107" s="285">
        <v>0</v>
      </c>
    </row>
    <row r="108" spans="1:7" s="282" customFormat="1" ht="15">
      <c r="A108" s="283">
        <v>154</v>
      </c>
      <c r="B108" s="283" t="s">
        <v>206</v>
      </c>
      <c r="C108" s="283" t="s">
        <v>219</v>
      </c>
      <c r="D108" s="283" t="s">
        <v>205</v>
      </c>
      <c r="E108" s="286">
        <v>45474</v>
      </c>
      <c r="F108" s="285">
        <v>0</v>
      </c>
      <c r="G108" s="285">
        <v>0</v>
      </c>
    </row>
    <row r="109" spans="1:7" s="282" customFormat="1" ht="15">
      <c r="A109" s="283">
        <v>159</v>
      </c>
      <c r="B109" s="283" t="s">
        <v>209</v>
      </c>
      <c r="C109" s="283" t="s">
        <v>215</v>
      </c>
      <c r="D109" s="283" t="s">
        <v>204</v>
      </c>
      <c r="E109" s="286">
        <v>45474</v>
      </c>
      <c r="F109" s="285">
        <v>60000</v>
      </c>
      <c r="G109" s="285">
        <v>130010.06</v>
      </c>
    </row>
    <row r="110" spans="1:7" s="282" customFormat="1" ht="15">
      <c r="A110" s="283">
        <v>162</v>
      </c>
      <c r="B110" s="283" t="s">
        <v>208</v>
      </c>
      <c r="C110" s="283" t="s">
        <v>216</v>
      </c>
      <c r="D110" s="283" t="s">
        <v>203</v>
      </c>
      <c r="E110" s="286">
        <v>45474</v>
      </c>
      <c r="F110" s="285">
        <v>40000</v>
      </c>
      <c r="G110" s="285">
        <v>42204.861400179994</v>
      </c>
    </row>
    <row r="111" spans="1:7" s="282" customFormat="1" ht="15">
      <c r="A111" s="283">
        <v>174</v>
      </c>
      <c r="B111" s="283" t="s">
        <v>226</v>
      </c>
      <c r="C111" s="283" t="s">
        <v>222</v>
      </c>
      <c r="D111" s="283" t="s">
        <v>223</v>
      </c>
      <c r="E111" s="286">
        <v>45474</v>
      </c>
      <c r="F111" s="285">
        <v>260000</v>
      </c>
      <c r="G111" s="285">
        <v>263211.58</v>
      </c>
    </row>
    <row r="112" spans="1:7" s="282" customFormat="1" ht="15">
      <c r="A112" s="283">
        <v>175</v>
      </c>
      <c r="B112" s="283" t="s">
        <v>224</v>
      </c>
      <c r="C112" s="283" t="s">
        <v>217</v>
      </c>
      <c r="D112" s="283" t="s">
        <v>225</v>
      </c>
      <c r="E112" s="286">
        <v>45474</v>
      </c>
      <c r="F112" s="285">
        <v>0</v>
      </c>
      <c r="G112" s="285">
        <v>0</v>
      </c>
    </row>
    <row r="113" spans="1:7" s="282" customFormat="1" ht="15">
      <c r="A113" s="283">
        <v>183</v>
      </c>
      <c r="B113" s="283" t="s">
        <v>232</v>
      </c>
      <c r="C113" s="283" t="s">
        <v>217</v>
      </c>
      <c r="D113" s="283" t="s">
        <v>225</v>
      </c>
      <c r="E113" s="286">
        <v>45474</v>
      </c>
      <c r="F113" s="285">
        <v>0</v>
      </c>
      <c r="G113" s="285">
        <v>0</v>
      </c>
    </row>
    <row r="114" spans="1:7" s="282" customFormat="1" ht="15">
      <c r="A114" s="283">
        <v>184</v>
      </c>
      <c r="B114" s="283" t="s">
        <v>265</v>
      </c>
      <c r="C114" s="283" t="s">
        <v>230</v>
      </c>
      <c r="D114" s="283" t="s">
        <v>231</v>
      </c>
      <c r="E114" s="286">
        <v>45474</v>
      </c>
      <c r="F114" s="285">
        <v>286540.05</v>
      </c>
      <c r="G114" s="285">
        <v>286540.05</v>
      </c>
    </row>
    <row r="115" spans="1:7" s="282" customFormat="1" ht="15">
      <c r="A115" s="283">
        <v>184</v>
      </c>
      <c r="B115" s="283" t="s">
        <v>268</v>
      </c>
      <c r="C115" s="283" t="s">
        <v>230</v>
      </c>
      <c r="D115" s="283" t="s">
        <v>231</v>
      </c>
      <c r="E115" s="286">
        <v>45474</v>
      </c>
      <c r="F115" s="285">
        <v>233441.91</v>
      </c>
      <c r="G115" s="285">
        <v>233441.91</v>
      </c>
    </row>
    <row r="116" spans="1:7" s="282" customFormat="1" ht="15">
      <c r="A116" s="283">
        <v>192</v>
      </c>
      <c r="B116" s="283" t="s">
        <v>259</v>
      </c>
      <c r="C116" s="283" t="s">
        <v>219</v>
      </c>
      <c r="D116" s="283" t="s">
        <v>223</v>
      </c>
      <c r="E116" s="286">
        <v>45474</v>
      </c>
      <c r="F116" s="285">
        <v>120000</v>
      </c>
      <c r="G116" s="285">
        <v>143260.32999999999</v>
      </c>
    </row>
    <row r="117" spans="1:7" s="282" customFormat="1" ht="15">
      <c r="A117" s="283">
        <v>199</v>
      </c>
      <c r="B117" s="283" t="s">
        <v>254</v>
      </c>
      <c r="C117" s="283" t="s">
        <v>255</v>
      </c>
      <c r="D117" s="283" t="s">
        <v>223</v>
      </c>
      <c r="E117" s="286">
        <v>45474</v>
      </c>
      <c r="F117" s="285">
        <v>32599.55</v>
      </c>
      <c r="G117" s="285">
        <v>32599.55</v>
      </c>
    </row>
    <row r="118" spans="1:7" s="282" customFormat="1" ht="15">
      <c r="A118" s="283">
        <v>106</v>
      </c>
      <c r="B118" s="283" t="s">
        <v>210</v>
      </c>
      <c r="C118" s="283" t="s">
        <v>214</v>
      </c>
      <c r="D118" s="283" t="s">
        <v>202</v>
      </c>
      <c r="E118" s="286">
        <v>45505</v>
      </c>
      <c r="F118" s="285">
        <v>275000</v>
      </c>
      <c r="G118" s="285">
        <v>283123.64</v>
      </c>
    </row>
    <row r="119" spans="1:7" s="282" customFormat="1" ht="15">
      <c r="A119" s="283">
        <v>143</v>
      </c>
      <c r="B119" s="283" t="s">
        <v>207</v>
      </c>
      <c r="C119" s="283" t="s">
        <v>219</v>
      </c>
      <c r="D119" s="283" t="s">
        <v>205</v>
      </c>
      <c r="E119" s="286">
        <v>45505</v>
      </c>
      <c r="F119" s="285">
        <v>233438.94</v>
      </c>
      <c r="G119" s="285">
        <v>137879.14000000001</v>
      </c>
    </row>
    <row r="120" spans="1:7" s="282" customFormat="1" ht="15">
      <c r="A120" s="283">
        <v>154</v>
      </c>
      <c r="B120" s="283" t="s">
        <v>206</v>
      </c>
      <c r="C120" s="283" t="s">
        <v>219</v>
      </c>
      <c r="D120" s="283" t="s">
        <v>205</v>
      </c>
      <c r="E120" s="286">
        <v>45505</v>
      </c>
      <c r="F120" s="285">
        <v>0</v>
      </c>
      <c r="G120" s="285"/>
    </row>
    <row r="121" spans="1:7" s="282" customFormat="1" ht="15">
      <c r="A121" s="283">
        <v>159</v>
      </c>
      <c r="B121" s="283" t="s">
        <v>209</v>
      </c>
      <c r="C121" s="283" t="s">
        <v>215</v>
      </c>
      <c r="D121" s="283" t="s">
        <v>204</v>
      </c>
      <c r="E121" s="286">
        <v>45505</v>
      </c>
      <c r="F121" s="285">
        <v>350000</v>
      </c>
      <c r="G121" s="285">
        <v>396036.08</v>
      </c>
    </row>
    <row r="122" spans="1:7" s="282" customFormat="1" ht="15">
      <c r="A122" s="283">
        <v>162</v>
      </c>
      <c r="B122" s="283" t="s">
        <v>208</v>
      </c>
      <c r="C122" s="283" t="s">
        <v>216</v>
      </c>
      <c r="D122" s="283" t="s">
        <v>203</v>
      </c>
      <c r="E122" s="286">
        <v>45505</v>
      </c>
      <c r="F122" s="285">
        <v>0</v>
      </c>
      <c r="G122" s="285">
        <v>0</v>
      </c>
    </row>
    <row r="123" spans="1:7" s="282" customFormat="1" ht="15">
      <c r="A123" s="283">
        <v>174</v>
      </c>
      <c r="B123" s="283" t="s">
        <v>226</v>
      </c>
      <c r="C123" s="283" t="s">
        <v>222</v>
      </c>
      <c r="D123" s="283" t="s">
        <v>223</v>
      </c>
      <c r="E123" s="286">
        <v>45505</v>
      </c>
      <c r="F123" s="285">
        <v>355000</v>
      </c>
      <c r="G123" s="285">
        <v>324826.21000000002</v>
      </c>
    </row>
    <row r="124" spans="1:7" s="282" customFormat="1" ht="15">
      <c r="A124" s="283">
        <v>175</v>
      </c>
      <c r="B124" s="283" t="s">
        <v>224</v>
      </c>
      <c r="C124" s="283" t="s">
        <v>217</v>
      </c>
      <c r="D124" s="283" t="s">
        <v>225</v>
      </c>
      <c r="E124" s="286">
        <v>45505</v>
      </c>
      <c r="F124" s="285">
        <v>0</v>
      </c>
      <c r="G124" s="285">
        <v>0</v>
      </c>
    </row>
    <row r="125" spans="1:7" s="282" customFormat="1" ht="15">
      <c r="A125" s="283">
        <v>183</v>
      </c>
      <c r="B125" s="283" t="s">
        <v>232</v>
      </c>
      <c r="C125" s="283" t="s">
        <v>217</v>
      </c>
      <c r="D125" s="283" t="s">
        <v>225</v>
      </c>
      <c r="E125" s="286">
        <v>45505</v>
      </c>
      <c r="F125" s="285">
        <v>0</v>
      </c>
      <c r="G125" s="285">
        <v>0</v>
      </c>
    </row>
    <row r="126" spans="1:7" s="282" customFormat="1" ht="15">
      <c r="A126" s="283">
        <v>184</v>
      </c>
      <c r="B126" s="283" t="s">
        <v>265</v>
      </c>
      <c r="C126" s="283" t="s">
        <v>230</v>
      </c>
      <c r="D126" s="283" t="s">
        <v>231</v>
      </c>
      <c r="E126" s="286">
        <v>45505</v>
      </c>
      <c r="F126" s="285">
        <v>700000</v>
      </c>
      <c r="G126" s="285">
        <v>781413.92999999993</v>
      </c>
    </row>
    <row r="127" spans="1:7" s="282" customFormat="1" ht="15">
      <c r="A127" s="283">
        <v>184</v>
      </c>
      <c r="B127" s="283" t="s">
        <v>268</v>
      </c>
      <c r="C127" s="283" t="s">
        <v>230</v>
      </c>
      <c r="D127" s="283" t="s">
        <v>231</v>
      </c>
      <c r="E127" s="286">
        <v>45505</v>
      </c>
      <c r="F127" s="285">
        <v>300000</v>
      </c>
      <c r="G127" s="285">
        <v>494878.61999999994</v>
      </c>
    </row>
    <row r="128" spans="1:7" s="282" customFormat="1" ht="15">
      <c r="A128" s="283">
        <v>192</v>
      </c>
      <c r="B128" s="283" t="s">
        <v>259</v>
      </c>
      <c r="C128" s="283" t="s">
        <v>219</v>
      </c>
      <c r="D128" s="283" t="s">
        <v>223</v>
      </c>
      <c r="E128" s="286">
        <v>45505</v>
      </c>
      <c r="F128" s="285">
        <v>267000</v>
      </c>
      <c r="G128" s="285">
        <v>284714.77</v>
      </c>
    </row>
    <row r="129" spans="1:7" s="282" customFormat="1" ht="15">
      <c r="A129" s="283">
        <v>202</v>
      </c>
      <c r="B129" s="283" t="s">
        <v>262</v>
      </c>
      <c r="C129" s="283" t="s">
        <v>219</v>
      </c>
      <c r="D129" s="283" t="s">
        <v>223</v>
      </c>
      <c r="E129" s="286">
        <v>45505</v>
      </c>
      <c r="F129" s="285">
        <v>507888.1</v>
      </c>
      <c r="G129" s="285">
        <v>532404.38</v>
      </c>
    </row>
    <row r="130" spans="1:7" s="282" customFormat="1" ht="15">
      <c r="A130" s="283">
        <v>205</v>
      </c>
      <c r="B130" s="283" t="s">
        <v>263</v>
      </c>
      <c r="C130" s="283" t="s">
        <v>219</v>
      </c>
      <c r="D130" s="283" t="s">
        <v>223</v>
      </c>
      <c r="E130" s="286">
        <v>45505</v>
      </c>
      <c r="F130" s="285">
        <v>130000</v>
      </c>
      <c r="G130" s="285">
        <v>130000</v>
      </c>
    </row>
    <row r="131" spans="1:7" s="282" customFormat="1" ht="15">
      <c r="A131" s="283">
        <v>106</v>
      </c>
      <c r="B131" s="283" t="s">
        <v>210</v>
      </c>
      <c r="C131" s="283" t="s">
        <v>214</v>
      </c>
      <c r="D131" s="283" t="s">
        <v>202</v>
      </c>
      <c r="E131" s="286">
        <v>45536</v>
      </c>
      <c r="F131" s="285">
        <v>332500</v>
      </c>
      <c r="G131" s="285">
        <v>338155.49599999998</v>
      </c>
    </row>
    <row r="132" spans="1:7" s="282" customFormat="1" ht="15">
      <c r="A132" s="283">
        <v>154</v>
      </c>
      <c r="B132" s="283" t="s">
        <v>206</v>
      </c>
      <c r="C132" s="283" t="s">
        <v>219</v>
      </c>
      <c r="D132" s="283" t="s">
        <v>205</v>
      </c>
      <c r="E132" s="286">
        <v>45536</v>
      </c>
      <c r="F132" s="285">
        <v>0</v>
      </c>
      <c r="G132" s="285">
        <v>0</v>
      </c>
    </row>
    <row r="133" spans="1:7" s="282" customFormat="1" ht="15">
      <c r="A133" s="283">
        <v>159</v>
      </c>
      <c r="B133" s="283" t="s">
        <v>209</v>
      </c>
      <c r="C133" s="283" t="s">
        <v>215</v>
      </c>
      <c r="D133" s="283" t="s">
        <v>204</v>
      </c>
      <c r="E133" s="286">
        <v>45536</v>
      </c>
      <c r="F133" s="285">
        <v>590000</v>
      </c>
      <c r="G133" s="285">
        <v>745398.8</v>
      </c>
    </row>
    <row r="134" spans="1:7" s="282" customFormat="1" ht="15">
      <c r="A134" s="283">
        <v>162</v>
      </c>
      <c r="B134" s="283" t="s">
        <v>208</v>
      </c>
      <c r="C134" s="283" t="s">
        <v>216</v>
      </c>
      <c r="D134" s="283" t="s">
        <v>203</v>
      </c>
      <c r="E134" s="286">
        <v>45536</v>
      </c>
      <c r="F134" s="285">
        <v>60000</v>
      </c>
      <c r="G134" s="285">
        <v>50166.794999999998</v>
      </c>
    </row>
    <row r="135" spans="1:7" s="282" customFormat="1" ht="15">
      <c r="A135" s="283">
        <v>174</v>
      </c>
      <c r="B135" s="283" t="s">
        <v>226</v>
      </c>
      <c r="C135" s="283" t="s">
        <v>222</v>
      </c>
      <c r="D135" s="283" t="s">
        <v>223</v>
      </c>
      <c r="E135" s="286">
        <v>45536</v>
      </c>
      <c r="F135" s="285">
        <v>485000</v>
      </c>
      <c r="G135" s="285">
        <v>455466.19</v>
      </c>
    </row>
    <row r="136" spans="1:7" s="282" customFormat="1" ht="15">
      <c r="A136" s="283">
        <v>175</v>
      </c>
      <c r="B136" s="283" t="s">
        <v>224</v>
      </c>
      <c r="C136" s="283" t="s">
        <v>217</v>
      </c>
      <c r="D136" s="283" t="s">
        <v>225</v>
      </c>
      <c r="E136" s="286">
        <v>45536</v>
      </c>
      <c r="F136" s="285">
        <v>0</v>
      </c>
      <c r="G136" s="285">
        <v>0</v>
      </c>
    </row>
    <row r="137" spans="1:7" s="282" customFormat="1" ht="15">
      <c r="A137" s="283">
        <v>183</v>
      </c>
      <c r="B137" s="283" t="s">
        <v>232</v>
      </c>
      <c r="C137" s="283" t="s">
        <v>217</v>
      </c>
      <c r="D137" s="283" t="s">
        <v>225</v>
      </c>
      <c r="E137" s="286">
        <v>45536</v>
      </c>
      <c r="F137" s="285">
        <v>0</v>
      </c>
      <c r="G137" s="285">
        <v>0</v>
      </c>
    </row>
    <row r="138" spans="1:7" s="282" customFormat="1" ht="15">
      <c r="A138" s="283">
        <v>184</v>
      </c>
      <c r="B138" s="283" t="s">
        <v>265</v>
      </c>
      <c r="C138" s="283" t="s">
        <v>230</v>
      </c>
      <c r="D138" s="283" t="s">
        <v>231</v>
      </c>
      <c r="E138" s="286">
        <v>45536</v>
      </c>
      <c r="F138" s="285">
        <v>870000</v>
      </c>
      <c r="G138" s="285">
        <v>671235.59</v>
      </c>
    </row>
    <row r="139" spans="1:7" s="282" customFormat="1" ht="15">
      <c r="A139" s="283">
        <v>184</v>
      </c>
      <c r="B139" s="283" t="s">
        <v>268</v>
      </c>
      <c r="C139" s="283" t="s">
        <v>230</v>
      </c>
      <c r="D139" s="283" t="s">
        <v>231</v>
      </c>
      <c r="E139" s="286">
        <v>45536</v>
      </c>
      <c r="F139" s="285">
        <v>170000</v>
      </c>
      <c r="G139" s="285">
        <v>260410.21</v>
      </c>
    </row>
    <row r="140" spans="1:7" s="282" customFormat="1" ht="15">
      <c r="A140" s="283">
        <v>192</v>
      </c>
      <c r="B140" s="283" t="s">
        <v>259</v>
      </c>
      <c r="C140" s="283" t="s">
        <v>219</v>
      </c>
      <c r="D140" s="283" t="s">
        <v>223</v>
      </c>
      <c r="E140" s="286">
        <v>45536</v>
      </c>
      <c r="F140" s="285">
        <v>300000</v>
      </c>
      <c r="G140" s="285">
        <v>458325.24</v>
      </c>
    </row>
    <row r="141" spans="1:7" s="282" customFormat="1" ht="15">
      <c r="A141" s="283">
        <v>202</v>
      </c>
      <c r="B141" s="283" t="s">
        <v>262</v>
      </c>
      <c r="C141" s="283" t="s">
        <v>219</v>
      </c>
      <c r="D141" s="283" t="s">
        <v>223</v>
      </c>
      <c r="E141" s="286">
        <v>45536</v>
      </c>
      <c r="F141" s="285">
        <v>255000</v>
      </c>
      <c r="G141" s="285">
        <v>284418.21999999997</v>
      </c>
    </row>
    <row r="142" spans="1:7" s="282" customFormat="1" ht="15">
      <c r="A142" s="283">
        <v>208</v>
      </c>
      <c r="B142" s="283" t="s">
        <v>283</v>
      </c>
      <c r="C142" s="283" t="s">
        <v>215</v>
      </c>
      <c r="D142" s="283" t="s">
        <v>231</v>
      </c>
      <c r="E142" s="286">
        <v>45536</v>
      </c>
      <c r="F142" s="285">
        <v>0</v>
      </c>
      <c r="G142" s="285">
        <v>0</v>
      </c>
    </row>
    <row r="143" spans="1:7" s="282" customFormat="1" ht="15">
      <c r="A143" s="283">
        <v>205</v>
      </c>
      <c r="B143" s="283" t="s">
        <v>263</v>
      </c>
      <c r="C143" s="283" t="s">
        <v>219</v>
      </c>
      <c r="D143" s="283" t="s">
        <v>223</v>
      </c>
      <c r="E143" s="286">
        <v>45536</v>
      </c>
      <c r="F143" s="285">
        <v>276023.18</v>
      </c>
      <c r="G143" s="285">
        <v>276023.18</v>
      </c>
    </row>
    <row r="144" spans="1:7" s="282" customFormat="1" ht="15">
      <c r="A144" s="283">
        <v>207</v>
      </c>
      <c r="B144" s="283" t="s">
        <v>281</v>
      </c>
      <c r="C144" s="283" t="s">
        <v>219</v>
      </c>
      <c r="D144" s="283" t="s">
        <v>223</v>
      </c>
      <c r="E144" s="286">
        <v>45536</v>
      </c>
      <c r="F144" s="285">
        <v>0</v>
      </c>
      <c r="G144" s="285">
        <v>48341.279999999999</v>
      </c>
    </row>
    <row r="145" spans="1:7" s="282" customFormat="1" ht="15">
      <c r="A145" s="283">
        <v>106</v>
      </c>
      <c r="B145" s="283" t="s">
        <v>210</v>
      </c>
      <c r="C145" s="283" t="s">
        <v>214</v>
      </c>
      <c r="D145" s="283" t="s">
        <v>202</v>
      </c>
      <c r="E145" s="286">
        <v>45566</v>
      </c>
      <c r="F145" s="285">
        <v>161500</v>
      </c>
      <c r="G145" s="285">
        <v>168806.47999999998</v>
      </c>
    </row>
    <row r="146" spans="1:7" s="282" customFormat="1" ht="15">
      <c r="A146" s="283">
        <v>154</v>
      </c>
      <c r="B146" s="283" t="s">
        <v>206</v>
      </c>
      <c r="C146" s="283" t="s">
        <v>219</v>
      </c>
      <c r="D146" s="283" t="s">
        <v>205</v>
      </c>
      <c r="E146" s="286">
        <v>45566</v>
      </c>
      <c r="F146" s="285">
        <v>0</v>
      </c>
      <c r="G146" s="285">
        <v>0</v>
      </c>
    </row>
    <row r="147" spans="1:7" s="282" customFormat="1" ht="15">
      <c r="A147" s="283">
        <v>159</v>
      </c>
      <c r="B147" s="283" t="s">
        <v>209</v>
      </c>
      <c r="C147" s="283" t="s">
        <v>215</v>
      </c>
      <c r="D147" s="283" t="s">
        <v>204</v>
      </c>
      <c r="E147" s="286">
        <v>45566</v>
      </c>
      <c r="F147" s="285">
        <v>605000</v>
      </c>
      <c r="G147" s="285">
        <v>746149.91632299998</v>
      </c>
    </row>
    <row r="148" spans="1:7" s="282" customFormat="1" ht="15">
      <c r="A148" s="283">
        <v>162</v>
      </c>
      <c r="B148" s="283" t="s">
        <v>208</v>
      </c>
      <c r="C148" s="283" t="s">
        <v>216</v>
      </c>
      <c r="D148" s="283" t="s">
        <v>203</v>
      </c>
      <c r="E148" s="286">
        <v>45566</v>
      </c>
      <c r="F148" s="285">
        <v>0</v>
      </c>
      <c r="G148" s="285">
        <v>0</v>
      </c>
    </row>
    <row r="149" spans="1:7" s="282" customFormat="1" ht="15">
      <c r="A149" s="283">
        <v>174</v>
      </c>
      <c r="B149" s="283" t="s">
        <v>226</v>
      </c>
      <c r="C149" s="283" t="s">
        <v>222</v>
      </c>
      <c r="D149" s="283" t="s">
        <v>223</v>
      </c>
      <c r="E149" s="286">
        <v>45566</v>
      </c>
      <c r="F149" s="285">
        <v>500000</v>
      </c>
      <c r="G149" s="285">
        <v>517754.23</v>
      </c>
    </row>
    <row r="150" spans="1:7" s="282" customFormat="1" ht="15">
      <c r="A150" s="283">
        <v>175</v>
      </c>
      <c r="B150" s="283" t="s">
        <v>224</v>
      </c>
      <c r="C150" s="283" t="s">
        <v>217</v>
      </c>
      <c r="D150" s="283" t="s">
        <v>225</v>
      </c>
      <c r="E150" s="286">
        <v>45566</v>
      </c>
      <c r="F150" s="285">
        <v>0</v>
      </c>
      <c r="G150" s="285">
        <v>506577.48</v>
      </c>
    </row>
    <row r="151" spans="1:7" s="282" customFormat="1" ht="15">
      <c r="A151" s="283">
        <v>183</v>
      </c>
      <c r="B151" s="283" t="s">
        <v>232</v>
      </c>
      <c r="C151" s="283" t="s">
        <v>217</v>
      </c>
      <c r="D151" s="283" t="s">
        <v>225</v>
      </c>
      <c r="E151" s="286">
        <v>45566</v>
      </c>
      <c r="F151" s="285">
        <v>0</v>
      </c>
      <c r="G151" s="285">
        <v>0</v>
      </c>
    </row>
    <row r="152" spans="1:7" s="282" customFormat="1" ht="15">
      <c r="A152" s="283">
        <v>184</v>
      </c>
      <c r="B152" s="283" t="s">
        <v>265</v>
      </c>
      <c r="C152" s="283" t="s">
        <v>230</v>
      </c>
      <c r="D152" s="283" t="s">
        <v>231</v>
      </c>
      <c r="E152" s="286">
        <v>45566</v>
      </c>
      <c r="F152" s="285">
        <v>350000</v>
      </c>
      <c r="G152" s="285">
        <v>736406.75</v>
      </c>
    </row>
    <row r="153" spans="1:7" s="282" customFormat="1" ht="15">
      <c r="A153" s="283">
        <v>184</v>
      </c>
      <c r="B153" s="283" t="s">
        <v>268</v>
      </c>
      <c r="C153" s="283" t="s">
        <v>230</v>
      </c>
      <c r="D153" s="283" t="s">
        <v>231</v>
      </c>
      <c r="E153" s="286">
        <v>45566</v>
      </c>
      <c r="F153" s="285">
        <v>150000</v>
      </c>
      <c r="G153" s="285">
        <v>24804.57</v>
      </c>
    </row>
    <row r="154" spans="1:7" s="282" customFormat="1" ht="15">
      <c r="A154" s="283">
        <v>192</v>
      </c>
      <c r="B154" s="283" t="s">
        <v>259</v>
      </c>
      <c r="C154" s="283" t="s">
        <v>219</v>
      </c>
      <c r="D154" s="283" t="s">
        <v>223</v>
      </c>
      <c r="E154" s="286">
        <v>45566</v>
      </c>
      <c r="F154" s="285">
        <v>400000</v>
      </c>
      <c r="G154" s="285">
        <v>177242.45</v>
      </c>
    </row>
    <row r="155" spans="1:7" s="282" customFormat="1" ht="15">
      <c r="A155" s="283">
        <v>202</v>
      </c>
      <c r="B155" s="283" t="s">
        <v>262</v>
      </c>
      <c r="C155" s="283" t="s">
        <v>219</v>
      </c>
      <c r="D155" s="283" t="s">
        <v>223</v>
      </c>
      <c r="E155" s="286">
        <v>45566</v>
      </c>
      <c r="F155" s="285">
        <v>315000</v>
      </c>
      <c r="G155" s="285">
        <v>330215.12</v>
      </c>
    </row>
    <row r="156" spans="1:7" s="282" customFormat="1" ht="15">
      <c r="A156" s="283">
        <v>208</v>
      </c>
      <c r="B156" s="283" t="s">
        <v>283</v>
      </c>
      <c r="C156" s="283" t="s">
        <v>215</v>
      </c>
      <c r="D156" s="283" t="s">
        <v>231</v>
      </c>
      <c r="E156" s="286">
        <v>45566</v>
      </c>
      <c r="F156" s="285">
        <v>0</v>
      </c>
      <c r="G156" s="285">
        <v>0</v>
      </c>
    </row>
    <row r="157" spans="1:7" s="282" customFormat="1" ht="15">
      <c r="A157" s="283">
        <v>205</v>
      </c>
      <c r="B157" s="283" t="s">
        <v>263</v>
      </c>
      <c r="C157" s="283" t="s">
        <v>219</v>
      </c>
      <c r="D157" s="283" t="s">
        <v>223</v>
      </c>
      <c r="E157" s="286">
        <v>45566</v>
      </c>
      <c r="F157" s="285">
        <v>100000</v>
      </c>
      <c r="G157" s="285">
        <v>112391</v>
      </c>
    </row>
    <row r="158" spans="1:7" s="282" customFormat="1" ht="15">
      <c r="A158" s="283">
        <v>210</v>
      </c>
      <c r="B158" s="283" t="s">
        <v>293</v>
      </c>
      <c r="C158" s="283" t="s">
        <v>217</v>
      </c>
      <c r="D158" s="283" t="s">
        <v>225</v>
      </c>
      <c r="E158" s="286">
        <v>45566</v>
      </c>
      <c r="F158" s="285">
        <v>0</v>
      </c>
      <c r="G158" s="285">
        <v>130323.48</v>
      </c>
    </row>
    <row r="159" spans="1:7" s="282" customFormat="1" ht="15">
      <c r="A159" s="283">
        <v>106</v>
      </c>
      <c r="B159" s="283" t="s">
        <v>210</v>
      </c>
      <c r="C159" s="283" t="s">
        <v>214</v>
      </c>
      <c r="D159" s="283" t="s">
        <v>202</v>
      </c>
      <c r="E159" s="286">
        <v>45597</v>
      </c>
      <c r="F159" s="285">
        <v>350000</v>
      </c>
      <c r="G159" s="285">
        <v>416886.8</v>
      </c>
    </row>
    <row r="160" spans="1:7" s="282" customFormat="1" ht="15">
      <c r="A160" s="283">
        <v>154</v>
      </c>
      <c r="B160" s="283" t="s">
        <v>206</v>
      </c>
      <c r="C160" s="283" t="s">
        <v>219</v>
      </c>
      <c r="D160" s="283" t="s">
        <v>205</v>
      </c>
      <c r="E160" s="286">
        <v>45597</v>
      </c>
      <c r="F160" s="285">
        <v>0</v>
      </c>
      <c r="G160" s="285">
        <v>0</v>
      </c>
    </row>
    <row r="161" spans="1:7" s="282" customFormat="1" ht="15">
      <c r="A161" s="283">
        <v>159</v>
      </c>
      <c r="B161" s="283" t="s">
        <v>209</v>
      </c>
      <c r="C161" s="283" t="s">
        <v>215</v>
      </c>
      <c r="D161" s="283" t="s">
        <v>204</v>
      </c>
      <c r="E161" s="286">
        <v>45597</v>
      </c>
      <c r="F161" s="285">
        <v>410000</v>
      </c>
      <c r="G161" s="285">
        <v>546412.68000000005</v>
      </c>
    </row>
    <row r="162" spans="1:7" s="282" customFormat="1" ht="15">
      <c r="A162" s="283">
        <v>162</v>
      </c>
      <c r="B162" s="283" t="s">
        <v>208</v>
      </c>
      <c r="C162" s="283" t="s">
        <v>216</v>
      </c>
      <c r="D162" s="283" t="s">
        <v>203</v>
      </c>
      <c r="E162" s="286">
        <v>45597</v>
      </c>
      <c r="F162" s="285">
        <v>0</v>
      </c>
      <c r="G162" s="285">
        <v>0</v>
      </c>
    </row>
    <row r="163" spans="1:7" s="282" customFormat="1" ht="15">
      <c r="A163" s="283">
        <v>174</v>
      </c>
      <c r="B163" s="283" t="s">
        <v>226</v>
      </c>
      <c r="C163" s="283" t="s">
        <v>222</v>
      </c>
      <c r="D163" s="283" t="s">
        <v>223</v>
      </c>
      <c r="E163" s="286">
        <v>45597</v>
      </c>
      <c r="F163" s="285">
        <v>400000</v>
      </c>
      <c r="G163" s="285">
        <v>352359.24</v>
      </c>
    </row>
    <row r="164" spans="1:7" s="282" customFormat="1" ht="15">
      <c r="A164" s="283">
        <v>175</v>
      </c>
      <c r="B164" s="283" t="s">
        <v>224</v>
      </c>
      <c r="C164" s="283" t="s">
        <v>217</v>
      </c>
      <c r="D164" s="283" t="s">
        <v>225</v>
      </c>
      <c r="E164" s="286">
        <v>45597</v>
      </c>
      <c r="F164" s="285">
        <v>500000</v>
      </c>
      <c r="G164" s="285">
        <v>1057736.99</v>
      </c>
    </row>
    <row r="165" spans="1:7" s="282" customFormat="1" ht="15">
      <c r="A165" s="283">
        <v>183</v>
      </c>
      <c r="B165" s="283" t="s">
        <v>232</v>
      </c>
      <c r="C165" s="283" t="s">
        <v>217</v>
      </c>
      <c r="D165" s="283" t="s">
        <v>225</v>
      </c>
      <c r="E165" s="286">
        <v>45597</v>
      </c>
      <c r="F165" s="285">
        <v>160000</v>
      </c>
      <c r="G165" s="285">
        <v>202125.28</v>
      </c>
    </row>
    <row r="166" spans="1:7" s="282" customFormat="1" ht="15">
      <c r="A166" s="283">
        <v>184</v>
      </c>
      <c r="B166" s="283" t="s">
        <v>265</v>
      </c>
      <c r="C166" s="283" t="s">
        <v>230</v>
      </c>
      <c r="D166" s="283" t="s">
        <v>231</v>
      </c>
      <c r="E166" s="286">
        <v>45597</v>
      </c>
      <c r="F166" s="285">
        <v>50000</v>
      </c>
      <c r="G166" s="285">
        <v>205096.17</v>
      </c>
    </row>
    <row r="167" spans="1:7" s="282" customFormat="1" ht="15">
      <c r="A167" s="283">
        <v>184</v>
      </c>
      <c r="B167" s="283" t="s">
        <v>268</v>
      </c>
      <c r="C167" s="283" t="s">
        <v>230</v>
      </c>
      <c r="D167" s="283" t="s">
        <v>231</v>
      </c>
      <c r="E167" s="286">
        <v>45597</v>
      </c>
      <c r="F167" s="285">
        <v>50000</v>
      </c>
      <c r="G167" s="285">
        <v>73645.81</v>
      </c>
    </row>
    <row r="168" spans="1:7" s="282" customFormat="1" ht="15">
      <c r="A168" s="283">
        <v>192</v>
      </c>
      <c r="B168" s="283" t="s">
        <v>259</v>
      </c>
      <c r="C168" s="283" t="s">
        <v>219</v>
      </c>
      <c r="D168" s="283" t="s">
        <v>223</v>
      </c>
      <c r="E168" s="286">
        <v>45597</v>
      </c>
      <c r="F168" s="285">
        <v>320000</v>
      </c>
      <c r="G168" s="285">
        <v>385357.71</v>
      </c>
    </row>
    <row r="169" spans="1:7" s="282" customFormat="1" ht="15">
      <c r="A169" s="283">
        <v>202</v>
      </c>
      <c r="B169" s="283" t="s">
        <v>262</v>
      </c>
      <c r="C169" s="283" t="s">
        <v>219</v>
      </c>
      <c r="D169" s="283" t="s">
        <v>223</v>
      </c>
      <c r="E169" s="286">
        <v>45597</v>
      </c>
      <c r="F169" s="285">
        <v>270000</v>
      </c>
      <c r="G169" s="285">
        <v>94644.53</v>
      </c>
    </row>
    <row r="170" spans="1:7" s="282" customFormat="1" ht="15">
      <c r="A170" s="283">
        <v>208</v>
      </c>
      <c r="B170" s="283" t="s">
        <v>283</v>
      </c>
      <c r="C170" s="283" t="s">
        <v>215</v>
      </c>
      <c r="D170" s="283" t="s">
        <v>231</v>
      </c>
      <c r="E170" s="286">
        <v>45597</v>
      </c>
      <c r="F170" s="285">
        <v>170000</v>
      </c>
      <c r="G170" s="285">
        <v>660882.41999999993</v>
      </c>
    </row>
    <row r="171" spans="1:7" s="282" customFormat="1" ht="15">
      <c r="A171" s="283">
        <v>210</v>
      </c>
      <c r="B171" s="283" t="s">
        <v>293</v>
      </c>
      <c r="C171" s="283" t="s">
        <v>217</v>
      </c>
      <c r="D171" s="283" t="s">
        <v>225</v>
      </c>
      <c r="E171" s="286">
        <v>45597</v>
      </c>
      <c r="F171" s="285">
        <v>0</v>
      </c>
      <c r="G171" s="285">
        <v>0</v>
      </c>
    </row>
    <row r="172" spans="1:7" s="282" customFormat="1" ht="15">
      <c r="A172" s="283">
        <v>106</v>
      </c>
      <c r="B172" s="283" t="s">
        <v>210</v>
      </c>
      <c r="C172" s="283" t="s">
        <v>214</v>
      </c>
      <c r="D172" s="283" t="s">
        <v>202</v>
      </c>
      <c r="E172" s="286">
        <v>45627</v>
      </c>
      <c r="F172" s="285">
        <v>43862.36</v>
      </c>
      <c r="G172" s="285">
        <v>42973.069999999992</v>
      </c>
    </row>
    <row r="173" spans="1:7" s="282" customFormat="1" ht="15">
      <c r="A173" s="283">
        <v>154</v>
      </c>
      <c r="B173" s="283" t="s">
        <v>206</v>
      </c>
      <c r="C173" s="283" t="s">
        <v>219</v>
      </c>
      <c r="D173" s="283" t="s">
        <v>205</v>
      </c>
      <c r="E173" s="286">
        <v>45627</v>
      </c>
      <c r="F173" s="285">
        <v>0</v>
      </c>
      <c r="G173" s="285">
        <v>0</v>
      </c>
    </row>
    <row r="174" spans="1:7" s="282" customFormat="1" ht="15">
      <c r="A174" s="283">
        <v>159</v>
      </c>
      <c r="B174" s="283" t="s">
        <v>209</v>
      </c>
      <c r="C174" s="283" t="s">
        <v>215</v>
      </c>
      <c r="D174" s="283" t="s">
        <v>204</v>
      </c>
      <c r="E174" s="286">
        <v>45627</v>
      </c>
      <c r="F174" s="285">
        <v>65000</v>
      </c>
      <c r="G174" s="285">
        <v>58243.810855999996</v>
      </c>
    </row>
    <row r="175" spans="1:7" s="282" customFormat="1" ht="15">
      <c r="A175" s="283">
        <v>162</v>
      </c>
      <c r="B175" s="283" t="s">
        <v>208</v>
      </c>
      <c r="C175" s="283" t="s">
        <v>216</v>
      </c>
      <c r="D175" s="283" t="s">
        <v>203</v>
      </c>
      <c r="E175" s="286">
        <v>45627</v>
      </c>
      <c r="F175" s="285">
        <v>150407.09</v>
      </c>
      <c r="G175" s="285">
        <v>150407.09</v>
      </c>
    </row>
    <row r="176" spans="1:7" s="282" customFormat="1" ht="15">
      <c r="A176" s="283">
        <v>174</v>
      </c>
      <c r="B176" s="283" t="s">
        <v>226</v>
      </c>
      <c r="C176" s="283" t="s">
        <v>222</v>
      </c>
      <c r="D176" s="283" t="s">
        <v>223</v>
      </c>
      <c r="E176" s="286">
        <v>45627</v>
      </c>
      <c r="F176" s="285">
        <v>250000</v>
      </c>
      <c r="G176" s="285">
        <v>249376.76</v>
      </c>
    </row>
    <row r="177" spans="1:7" s="282" customFormat="1" ht="15">
      <c r="A177" s="283">
        <v>175</v>
      </c>
      <c r="B177" s="283" t="s">
        <v>224</v>
      </c>
      <c r="C177" s="283" t="s">
        <v>217</v>
      </c>
      <c r="D177" s="283" t="s">
        <v>225</v>
      </c>
      <c r="E177" s="286">
        <v>45627</v>
      </c>
      <c r="F177" s="285">
        <v>0</v>
      </c>
      <c r="G177" s="285">
        <v>0</v>
      </c>
    </row>
    <row r="178" spans="1:7" s="282" customFormat="1" ht="15">
      <c r="A178" s="283">
        <v>183</v>
      </c>
      <c r="B178" s="283" t="s">
        <v>232</v>
      </c>
      <c r="C178" s="283" t="s">
        <v>217</v>
      </c>
      <c r="D178" s="283" t="s">
        <v>225</v>
      </c>
      <c r="E178" s="286">
        <v>45627</v>
      </c>
      <c r="F178" s="285">
        <v>0</v>
      </c>
      <c r="G178" s="285">
        <v>0</v>
      </c>
    </row>
    <row r="179" spans="1:7" s="282" customFormat="1" ht="15">
      <c r="A179" s="283">
        <v>184</v>
      </c>
      <c r="B179" s="283" t="s">
        <v>265</v>
      </c>
      <c r="C179" s="283" t="s">
        <v>230</v>
      </c>
      <c r="D179" s="283" t="s">
        <v>231</v>
      </c>
      <c r="E179" s="286">
        <v>45627</v>
      </c>
      <c r="F179" s="285">
        <v>124724.07586031001</v>
      </c>
      <c r="G179" s="285">
        <v>124724.07586031001</v>
      </c>
    </row>
    <row r="180" spans="1:7" s="282" customFormat="1" ht="15">
      <c r="A180" s="283">
        <v>184</v>
      </c>
      <c r="B180" s="283" t="s">
        <v>268</v>
      </c>
      <c r="C180" s="283" t="s">
        <v>230</v>
      </c>
      <c r="D180" s="283" t="s">
        <v>231</v>
      </c>
      <c r="E180" s="286">
        <v>45627</v>
      </c>
      <c r="F180" s="285">
        <v>24985.030577700003</v>
      </c>
      <c r="G180" s="285">
        <v>24985.030577700003</v>
      </c>
    </row>
    <row r="181" spans="1:7" s="282" customFormat="1" ht="15">
      <c r="A181" s="283">
        <v>192</v>
      </c>
      <c r="B181" s="283" t="s">
        <v>259</v>
      </c>
      <c r="C181" s="283" t="s">
        <v>219</v>
      </c>
      <c r="D181" s="283" t="s">
        <v>223</v>
      </c>
      <c r="E181" s="286">
        <v>45627</v>
      </c>
      <c r="F181" s="285">
        <v>0</v>
      </c>
      <c r="G181" s="285">
        <v>0</v>
      </c>
    </row>
    <row r="182" spans="1:7" s="282" customFormat="1" ht="15">
      <c r="A182" s="283">
        <v>202</v>
      </c>
      <c r="B182" s="283" t="s">
        <v>262</v>
      </c>
      <c r="C182" s="283" t="s">
        <v>219</v>
      </c>
      <c r="D182" s="283" t="s">
        <v>223</v>
      </c>
      <c r="E182" s="286">
        <v>45627</v>
      </c>
      <c r="F182" s="285">
        <v>158300.35999999999</v>
      </c>
      <c r="G182" s="285">
        <v>158300.35999999999</v>
      </c>
    </row>
    <row r="183" spans="1:7" s="282" customFormat="1" ht="15">
      <c r="A183" s="283">
        <v>208</v>
      </c>
      <c r="B183" s="283" t="s">
        <v>283</v>
      </c>
      <c r="C183" s="283" t="s">
        <v>215</v>
      </c>
      <c r="D183" s="283" t="s">
        <v>231</v>
      </c>
      <c r="E183" s="286">
        <v>45627</v>
      </c>
      <c r="F183" s="285">
        <v>1600000</v>
      </c>
      <c r="G183" s="285">
        <v>1648285.43</v>
      </c>
    </row>
    <row r="184" spans="1:7" s="282" customFormat="1" ht="15">
      <c r="A184" s="283">
        <v>210</v>
      </c>
      <c r="B184" s="283" t="s">
        <v>293</v>
      </c>
      <c r="C184" s="283" t="s">
        <v>217</v>
      </c>
      <c r="D184" s="283" t="s">
        <v>225</v>
      </c>
      <c r="E184" s="286">
        <v>45627</v>
      </c>
      <c r="F184" s="285">
        <v>194420.22</v>
      </c>
      <c r="G184" s="285">
        <v>194420.22</v>
      </c>
    </row>
    <row r="185" spans="1:7">
      <c r="A185" s="292">
        <v>106</v>
      </c>
      <c r="B185" s="292" t="s">
        <v>210</v>
      </c>
      <c r="C185" s="292" t="s">
        <v>214</v>
      </c>
      <c r="D185" s="292" t="s">
        <v>202</v>
      </c>
      <c r="E185" s="293">
        <v>45658</v>
      </c>
      <c r="F185" s="294">
        <v>60000</v>
      </c>
      <c r="G185" s="294">
        <v>64536.480000000003</v>
      </c>
    </row>
    <row r="186" spans="1:7">
      <c r="A186" s="283">
        <v>154</v>
      </c>
      <c r="B186" s="283" t="s">
        <v>206</v>
      </c>
      <c r="C186" s="283" t="s">
        <v>219</v>
      </c>
      <c r="D186" s="283" t="s">
        <v>306</v>
      </c>
      <c r="E186" s="286">
        <v>45658</v>
      </c>
      <c r="F186" s="285">
        <v>0</v>
      </c>
      <c r="G186" s="285">
        <v>0</v>
      </c>
    </row>
    <row r="187" spans="1:7">
      <c r="A187" s="283">
        <v>159</v>
      </c>
      <c r="B187" s="283" t="s">
        <v>209</v>
      </c>
      <c r="C187" s="283" t="s">
        <v>215</v>
      </c>
      <c r="D187" s="283" t="s">
        <v>204</v>
      </c>
      <c r="E187" s="286">
        <v>45658</v>
      </c>
      <c r="F187" s="285">
        <v>300000</v>
      </c>
      <c r="G187" s="285">
        <v>304499.69</v>
      </c>
    </row>
    <row r="188" spans="1:7">
      <c r="A188" s="283">
        <v>162</v>
      </c>
      <c r="B188" s="283" t="s">
        <v>208</v>
      </c>
      <c r="C188" s="283" t="s">
        <v>216</v>
      </c>
      <c r="D188" s="283" t="s">
        <v>203</v>
      </c>
      <c r="E188" s="286">
        <v>45658</v>
      </c>
      <c r="F188" s="285">
        <v>71260.850000000006</v>
      </c>
      <c r="G188" s="285">
        <v>71260.850000000006</v>
      </c>
    </row>
    <row r="189" spans="1:7">
      <c r="A189" s="283">
        <v>174</v>
      </c>
      <c r="B189" s="283" t="s">
        <v>226</v>
      </c>
      <c r="C189" s="283" t="s">
        <v>222</v>
      </c>
      <c r="D189" s="283" t="s">
        <v>306</v>
      </c>
      <c r="E189" s="286">
        <v>45658</v>
      </c>
      <c r="F189" s="285">
        <v>0</v>
      </c>
      <c r="G189" s="285">
        <v>0</v>
      </c>
    </row>
    <row r="190" spans="1:7">
      <c r="A190" s="283">
        <v>175</v>
      </c>
      <c r="B190" s="283" t="s">
        <v>224</v>
      </c>
      <c r="C190" s="283" t="s">
        <v>217</v>
      </c>
      <c r="D190" s="283" t="s">
        <v>225</v>
      </c>
      <c r="E190" s="286">
        <v>45658</v>
      </c>
      <c r="F190" s="285">
        <v>0</v>
      </c>
      <c r="G190" s="285">
        <v>0</v>
      </c>
    </row>
    <row r="191" spans="1:7">
      <c r="A191" s="283">
        <v>183</v>
      </c>
      <c r="B191" s="283" t="s">
        <v>232</v>
      </c>
      <c r="C191" s="283" t="s">
        <v>217</v>
      </c>
      <c r="D191" s="283" t="s">
        <v>225</v>
      </c>
      <c r="E191" s="286">
        <v>45658</v>
      </c>
      <c r="F191" s="285">
        <v>155000</v>
      </c>
      <c r="G191" s="285">
        <v>155086.68</v>
      </c>
    </row>
    <row r="192" spans="1:7">
      <c r="A192" s="283">
        <v>184</v>
      </c>
      <c r="B192" s="283" t="s">
        <v>265</v>
      </c>
      <c r="C192" s="283" t="s">
        <v>230</v>
      </c>
      <c r="D192" s="283" t="s">
        <v>231</v>
      </c>
      <c r="E192" s="286">
        <v>45658</v>
      </c>
      <c r="F192" s="285">
        <v>170000</v>
      </c>
      <c r="G192" s="285">
        <v>229170.85</v>
      </c>
    </row>
    <row r="193" spans="1:7">
      <c r="A193" s="283">
        <v>184</v>
      </c>
      <c r="B193" s="283" t="s">
        <v>268</v>
      </c>
      <c r="C193" s="283" t="s">
        <v>230</v>
      </c>
      <c r="D193" s="283" t="s">
        <v>231</v>
      </c>
      <c r="E193" s="286">
        <v>45658</v>
      </c>
      <c r="F193" s="285">
        <v>75000</v>
      </c>
      <c r="G193" s="285">
        <v>38973.51</v>
      </c>
    </row>
    <row r="194" spans="1:7">
      <c r="A194" s="283">
        <v>192</v>
      </c>
      <c r="B194" s="283" t="s">
        <v>259</v>
      </c>
      <c r="C194" s="283" t="s">
        <v>219</v>
      </c>
      <c r="D194" s="283" t="s">
        <v>306</v>
      </c>
      <c r="E194" s="286">
        <v>45658</v>
      </c>
      <c r="F194" s="285">
        <v>483000</v>
      </c>
      <c r="G194" s="285">
        <v>466923.75</v>
      </c>
    </row>
    <row r="195" spans="1:7">
      <c r="A195" s="283">
        <v>202</v>
      </c>
      <c r="B195" s="283" t="s">
        <v>262</v>
      </c>
      <c r="C195" s="283" t="s">
        <v>219</v>
      </c>
      <c r="D195" s="283" t="s">
        <v>306</v>
      </c>
      <c r="E195" s="286">
        <v>45658</v>
      </c>
      <c r="F195" s="285">
        <v>0</v>
      </c>
      <c r="G195" s="285">
        <v>0</v>
      </c>
    </row>
    <row r="196" spans="1:7">
      <c r="A196" s="283">
        <v>208</v>
      </c>
      <c r="B196" s="283" t="s">
        <v>283</v>
      </c>
      <c r="C196" s="283" t="s">
        <v>215</v>
      </c>
      <c r="D196" s="283" t="s">
        <v>231</v>
      </c>
      <c r="E196" s="286">
        <v>45658</v>
      </c>
      <c r="F196" s="285">
        <v>29000</v>
      </c>
      <c r="G196" s="285">
        <v>30362.12</v>
      </c>
    </row>
    <row r="197" spans="1:7">
      <c r="A197" s="283">
        <v>106</v>
      </c>
      <c r="B197" s="283" t="s">
        <v>210</v>
      </c>
      <c r="C197" s="283" t="s">
        <v>214</v>
      </c>
      <c r="D197" s="283" t="s">
        <v>202</v>
      </c>
      <c r="E197" s="286">
        <v>45689</v>
      </c>
      <c r="F197" s="285">
        <v>180000</v>
      </c>
      <c r="G197" s="285">
        <v>136879.4</v>
      </c>
    </row>
    <row r="198" spans="1:7">
      <c r="A198" s="283">
        <v>154</v>
      </c>
      <c r="B198" s="283" t="s">
        <v>206</v>
      </c>
      <c r="C198" s="283" t="s">
        <v>219</v>
      </c>
      <c r="D198" s="283" t="s">
        <v>306</v>
      </c>
      <c r="E198" s="286">
        <v>45689</v>
      </c>
      <c r="F198" s="285">
        <v>0</v>
      </c>
      <c r="G198" s="285">
        <v>0</v>
      </c>
    </row>
    <row r="199" spans="1:7">
      <c r="A199" s="283">
        <v>159</v>
      </c>
      <c r="B199" s="283" t="s">
        <v>209</v>
      </c>
      <c r="C199" s="283" t="s">
        <v>215</v>
      </c>
      <c r="D199" s="283" t="s">
        <v>204</v>
      </c>
      <c r="E199" s="286">
        <v>45689</v>
      </c>
      <c r="F199" s="285">
        <v>210000</v>
      </c>
      <c r="G199" s="285">
        <v>284806.86613000004</v>
      </c>
    </row>
    <row r="200" spans="1:7">
      <c r="A200" s="283">
        <v>174</v>
      </c>
      <c r="B200" s="283" t="s">
        <v>226</v>
      </c>
      <c r="C200" s="283" t="s">
        <v>222</v>
      </c>
      <c r="D200" s="283" t="s">
        <v>306</v>
      </c>
      <c r="E200" s="286">
        <v>45689</v>
      </c>
      <c r="F200" s="285">
        <v>225000</v>
      </c>
      <c r="G200" s="285">
        <v>202289.83</v>
      </c>
    </row>
    <row r="201" spans="1:7">
      <c r="A201" s="283">
        <v>175</v>
      </c>
      <c r="B201" s="283" t="s">
        <v>224</v>
      </c>
      <c r="C201" s="283" t="s">
        <v>217</v>
      </c>
      <c r="D201" s="283" t="s">
        <v>225</v>
      </c>
      <c r="E201" s="286">
        <v>45689</v>
      </c>
      <c r="F201" s="285">
        <v>180000</v>
      </c>
      <c r="G201" s="285">
        <v>455576.86</v>
      </c>
    </row>
    <row r="202" spans="1:7">
      <c r="A202" s="283">
        <v>183</v>
      </c>
      <c r="B202" s="283" t="s">
        <v>232</v>
      </c>
      <c r="C202" s="283" t="s">
        <v>217</v>
      </c>
      <c r="D202" s="283" t="s">
        <v>225</v>
      </c>
      <c r="E202" s="286">
        <v>45689</v>
      </c>
      <c r="F202" s="285">
        <v>78000</v>
      </c>
      <c r="G202" s="285">
        <v>80177.17</v>
      </c>
    </row>
    <row r="203" spans="1:7">
      <c r="A203" s="283">
        <v>184</v>
      </c>
      <c r="B203" s="283" t="s">
        <v>265</v>
      </c>
      <c r="C203" s="283" t="s">
        <v>230</v>
      </c>
      <c r="D203" s="283" t="s">
        <v>231</v>
      </c>
      <c r="E203" s="286">
        <v>45689</v>
      </c>
      <c r="F203" s="285">
        <v>200000</v>
      </c>
      <c r="G203" s="285">
        <v>301941.38</v>
      </c>
    </row>
    <row r="204" spans="1:7">
      <c r="A204" s="283">
        <v>184</v>
      </c>
      <c r="B204" s="283" t="s">
        <v>268</v>
      </c>
      <c r="C204" s="283" t="s">
        <v>230</v>
      </c>
      <c r="D204" s="283" t="s">
        <v>231</v>
      </c>
      <c r="E204" s="286">
        <v>45689</v>
      </c>
      <c r="F204" s="285">
        <v>90000</v>
      </c>
      <c r="G204" s="285">
        <v>133602.84000000003</v>
      </c>
    </row>
    <row r="205" spans="1:7">
      <c r="A205" s="283">
        <v>192</v>
      </c>
      <c r="B205" s="283" t="s">
        <v>259</v>
      </c>
      <c r="C205" s="283" t="s">
        <v>219</v>
      </c>
      <c r="D205" s="283" t="s">
        <v>306</v>
      </c>
      <c r="E205" s="286">
        <v>45689</v>
      </c>
      <c r="F205" s="285">
        <v>115000</v>
      </c>
      <c r="G205" s="285">
        <v>172820.85</v>
      </c>
    </row>
    <row r="206" spans="1:7">
      <c r="A206" s="283">
        <v>202</v>
      </c>
      <c r="B206" s="283" t="s">
        <v>262</v>
      </c>
      <c r="C206" s="283" t="s">
        <v>219</v>
      </c>
      <c r="D206" s="283" t="s">
        <v>306</v>
      </c>
      <c r="E206" s="286">
        <v>45689</v>
      </c>
      <c r="F206" s="285">
        <v>0</v>
      </c>
      <c r="G206" s="285">
        <v>0</v>
      </c>
    </row>
    <row r="207" spans="1:7">
      <c r="A207" s="283">
        <v>208</v>
      </c>
      <c r="B207" s="283" t="s">
        <v>283</v>
      </c>
      <c r="C207" s="283" t="s">
        <v>215</v>
      </c>
      <c r="D207" s="283" t="s">
        <v>231</v>
      </c>
      <c r="E207" s="286">
        <v>45689</v>
      </c>
      <c r="F207" s="285">
        <v>110000</v>
      </c>
      <c r="G207" s="285">
        <v>69982.240000000005</v>
      </c>
    </row>
    <row r="208" spans="1:7">
      <c r="A208" s="292">
        <v>106</v>
      </c>
      <c r="B208" s="292" t="s">
        <v>210</v>
      </c>
      <c r="C208" s="292" t="s">
        <v>214</v>
      </c>
      <c r="D208" s="292" t="s">
        <v>202</v>
      </c>
      <c r="E208" s="293">
        <v>45717</v>
      </c>
      <c r="F208" s="294">
        <v>262956.23499999999</v>
      </c>
      <c r="G208" s="294">
        <v>256655.11</v>
      </c>
    </row>
    <row r="209" spans="1:7">
      <c r="A209" s="283">
        <v>154</v>
      </c>
      <c r="B209" s="283" t="s">
        <v>206</v>
      </c>
      <c r="C209" s="283" t="s">
        <v>219</v>
      </c>
      <c r="D209" s="283" t="s">
        <v>306</v>
      </c>
      <c r="E209" s="286">
        <v>45717</v>
      </c>
      <c r="F209" s="285">
        <v>112000</v>
      </c>
      <c r="G209" s="285">
        <v>101780.1</v>
      </c>
    </row>
    <row r="210" spans="1:7">
      <c r="A210" s="283">
        <v>159</v>
      </c>
      <c r="B210" s="283" t="s">
        <v>209</v>
      </c>
      <c r="C210" s="283" t="s">
        <v>215</v>
      </c>
      <c r="D210" s="283" t="s">
        <v>204</v>
      </c>
      <c r="E210" s="286">
        <v>45717</v>
      </c>
      <c r="F210" s="285">
        <v>325000</v>
      </c>
      <c r="G210" s="285">
        <v>317041.77</v>
      </c>
    </row>
    <row r="211" spans="1:7">
      <c r="A211" s="283">
        <v>174</v>
      </c>
      <c r="B211" s="283" t="s">
        <v>226</v>
      </c>
      <c r="C211" s="283" t="s">
        <v>222</v>
      </c>
      <c r="D211" s="283" t="s">
        <v>306</v>
      </c>
      <c r="E211" s="286">
        <v>45717</v>
      </c>
      <c r="F211" s="285">
        <v>251000</v>
      </c>
      <c r="G211" s="285">
        <v>268315.96999999997</v>
      </c>
    </row>
    <row r="212" spans="1:7">
      <c r="A212" s="283">
        <v>175</v>
      </c>
      <c r="B212" s="283" t="s">
        <v>224</v>
      </c>
      <c r="C212" s="283" t="s">
        <v>217</v>
      </c>
      <c r="D212" s="283" t="s">
        <v>225</v>
      </c>
      <c r="E212" s="286">
        <v>45717</v>
      </c>
      <c r="F212" s="285">
        <v>42000</v>
      </c>
      <c r="G212" s="285">
        <v>673708.62</v>
      </c>
    </row>
    <row r="213" spans="1:7">
      <c r="A213" s="283">
        <v>183</v>
      </c>
      <c r="B213" s="283" t="s">
        <v>232</v>
      </c>
      <c r="C213" s="283" t="s">
        <v>217</v>
      </c>
      <c r="D213" s="283" t="s">
        <v>225</v>
      </c>
      <c r="E213" s="286">
        <v>45717</v>
      </c>
      <c r="F213" s="285">
        <v>158024.29</v>
      </c>
      <c r="G213" s="285">
        <v>148226.78</v>
      </c>
    </row>
    <row r="214" spans="1:7">
      <c r="A214" s="283">
        <v>184</v>
      </c>
      <c r="B214" s="283" t="s">
        <v>265</v>
      </c>
      <c r="C214" s="283" t="s">
        <v>230</v>
      </c>
      <c r="D214" s="283" t="s">
        <v>231</v>
      </c>
      <c r="E214" s="286">
        <v>45717</v>
      </c>
      <c r="F214" s="285">
        <v>300000</v>
      </c>
      <c r="G214" s="285">
        <v>293768.77751548996</v>
      </c>
    </row>
    <row r="215" spans="1:7">
      <c r="A215" s="283">
        <v>184</v>
      </c>
      <c r="B215" s="283" t="s">
        <v>268</v>
      </c>
      <c r="C215" s="283" t="s">
        <v>230</v>
      </c>
      <c r="D215" s="283" t="s">
        <v>231</v>
      </c>
      <c r="E215" s="286">
        <v>45717</v>
      </c>
      <c r="F215" s="285">
        <v>140000</v>
      </c>
      <c r="G215" s="285">
        <v>145579.558735225</v>
      </c>
    </row>
    <row r="216" spans="1:7">
      <c r="A216" s="283">
        <v>192</v>
      </c>
      <c r="B216" s="283" t="s">
        <v>259</v>
      </c>
      <c r="C216" s="283" t="s">
        <v>219</v>
      </c>
      <c r="D216" s="283" t="s">
        <v>306</v>
      </c>
      <c r="E216" s="286">
        <v>45717</v>
      </c>
      <c r="F216" s="285">
        <v>150000</v>
      </c>
      <c r="G216" s="285">
        <v>92181.72</v>
      </c>
    </row>
    <row r="217" spans="1:7">
      <c r="A217" s="283">
        <v>202</v>
      </c>
      <c r="B217" s="283" t="s">
        <v>262</v>
      </c>
      <c r="C217" s="283" t="s">
        <v>219</v>
      </c>
      <c r="D217" s="283" t="s">
        <v>306</v>
      </c>
      <c r="E217" s="286">
        <v>45717</v>
      </c>
      <c r="F217" s="285">
        <v>0</v>
      </c>
      <c r="G217" s="285">
        <v>0</v>
      </c>
    </row>
    <row r="218" spans="1:7">
      <c r="A218" s="283">
        <v>208</v>
      </c>
      <c r="B218" s="283" t="s">
        <v>283</v>
      </c>
      <c r="C218" s="283" t="s">
        <v>215</v>
      </c>
      <c r="D218" s="283" t="s">
        <v>231</v>
      </c>
      <c r="E218" s="286">
        <v>45717</v>
      </c>
      <c r="F218" s="285">
        <v>1370000</v>
      </c>
      <c r="G218" s="285">
        <v>1397143.6099999999</v>
      </c>
    </row>
    <row r="219" spans="1:7">
      <c r="A219" s="283">
        <v>215</v>
      </c>
      <c r="B219" s="283" t="s">
        <v>295</v>
      </c>
      <c r="C219" s="283" t="s">
        <v>219</v>
      </c>
      <c r="D219" s="283" t="s">
        <v>231</v>
      </c>
      <c r="E219" s="286">
        <v>45717</v>
      </c>
      <c r="F219" s="285">
        <v>0</v>
      </c>
      <c r="G219" s="285">
        <v>0</v>
      </c>
    </row>
    <row r="220" spans="1:7">
      <c r="A220" s="283">
        <v>217</v>
      </c>
      <c r="B220" s="283" t="s">
        <v>302</v>
      </c>
      <c r="C220" s="283" t="s">
        <v>216</v>
      </c>
      <c r="D220" s="283" t="s">
        <v>299</v>
      </c>
      <c r="E220" s="286">
        <v>45717</v>
      </c>
      <c r="F220" s="285">
        <v>0</v>
      </c>
      <c r="G220" s="285">
        <v>0</v>
      </c>
    </row>
    <row r="221" spans="1:7">
      <c r="A221" s="283">
        <v>218</v>
      </c>
      <c r="B221" s="283" t="s">
        <v>297</v>
      </c>
      <c r="C221" s="283" t="s">
        <v>298</v>
      </c>
      <c r="D221" s="283" t="s">
        <v>300</v>
      </c>
      <c r="E221" s="286">
        <v>45717</v>
      </c>
      <c r="F221" s="285">
        <v>290064.15999999997</v>
      </c>
      <c r="G221" s="285">
        <v>290064.15999999997</v>
      </c>
    </row>
    <row r="222" spans="1:7">
      <c r="A222" s="292">
        <v>106</v>
      </c>
      <c r="B222" s="292" t="s">
        <v>210</v>
      </c>
      <c r="C222" s="292" t="s">
        <v>214</v>
      </c>
      <c r="D222" s="292" t="s">
        <v>202</v>
      </c>
      <c r="E222" s="293">
        <v>45748</v>
      </c>
      <c r="F222" s="294">
        <v>245000</v>
      </c>
      <c r="G222" s="294">
        <v>252573.51</v>
      </c>
    </row>
    <row r="223" spans="1:7">
      <c r="A223" s="283">
        <v>154</v>
      </c>
      <c r="B223" s="283" t="s">
        <v>206</v>
      </c>
      <c r="C223" s="283" t="s">
        <v>219</v>
      </c>
      <c r="D223" s="283" t="s">
        <v>306</v>
      </c>
      <c r="E223" s="286">
        <v>45748</v>
      </c>
      <c r="F223" s="285">
        <v>125000</v>
      </c>
      <c r="G223" s="285">
        <v>127017.52</v>
      </c>
    </row>
    <row r="224" spans="1:7">
      <c r="A224" s="283">
        <v>159</v>
      </c>
      <c r="B224" s="283" t="s">
        <v>209</v>
      </c>
      <c r="C224" s="283" t="s">
        <v>215</v>
      </c>
      <c r="D224" s="283" t="s">
        <v>204</v>
      </c>
      <c r="E224" s="286">
        <v>45748</v>
      </c>
      <c r="F224" s="285">
        <v>72000</v>
      </c>
      <c r="G224" s="285">
        <v>110093.142589</v>
      </c>
    </row>
    <row r="225" spans="1:7">
      <c r="A225" s="283">
        <v>174</v>
      </c>
      <c r="B225" s="283" t="s">
        <v>226</v>
      </c>
      <c r="C225" s="283" t="s">
        <v>222</v>
      </c>
      <c r="D225" s="283" t="s">
        <v>306</v>
      </c>
      <c r="E225" s="286">
        <v>45748</v>
      </c>
      <c r="F225" s="285">
        <v>239000</v>
      </c>
      <c r="G225" s="285">
        <v>354792.61</v>
      </c>
    </row>
    <row r="226" spans="1:7">
      <c r="A226" s="283">
        <v>175</v>
      </c>
      <c r="B226" s="283" t="s">
        <v>224</v>
      </c>
      <c r="C226" s="283" t="s">
        <v>217</v>
      </c>
      <c r="D226" s="283" t="s">
        <v>225</v>
      </c>
      <c r="E226" s="286">
        <v>45748</v>
      </c>
      <c r="F226" s="285">
        <v>445485.93</v>
      </c>
      <c r="G226" s="285">
        <v>445485.93</v>
      </c>
    </row>
    <row r="227" spans="1:7">
      <c r="A227" s="283">
        <v>183</v>
      </c>
      <c r="B227" s="283" t="s">
        <v>232</v>
      </c>
      <c r="C227" s="283" t="s">
        <v>217</v>
      </c>
      <c r="D227" s="283" t="s">
        <v>225</v>
      </c>
      <c r="E227" s="286">
        <v>45748</v>
      </c>
      <c r="F227" s="285">
        <v>120000</v>
      </c>
      <c r="G227" s="285">
        <v>210261.44</v>
      </c>
    </row>
    <row r="228" spans="1:7">
      <c r="A228" s="283">
        <v>184</v>
      </c>
      <c r="B228" s="283" t="s">
        <v>265</v>
      </c>
      <c r="C228" s="283" t="s">
        <v>230</v>
      </c>
      <c r="D228" s="283" t="s">
        <v>231</v>
      </c>
      <c r="E228" s="286">
        <v>45748</v>
      </c>
      <c r="F228" s="285">
        <v>500000</v>
      </c>
      <c r="G228" s="285">
        <v>523177.87407679996</v>
      </c>
    </row>
    <row r="229" spans="1:7">
      <c r="A229" s="283">
        <v>184</v>
      </c>
      <c r="B229" s="283" t="s">
        <v>268</v>
      </c>
      <c r="C229" s="283" t="s">
        <v>230</v>
      </c>
      <c r="D229" s="283" t="s">
        <v>231</v>
      </c>
      <c r="E229" s="286">
        <v>45748</v>
      </c>
      <c r="F229" s="285">
        <v>265000</v>
      </c>
      <c r="G229" s="285">
        <v>274123.785965905</v>
      </c>
    </row>
    <row r="230" spans="1:7">
      <c r="A230" s="283">
        <v>192</v>
      </c>
      <c r="B230" s="283" t="s">
        <v>259</v>
      </c>
      <c r="C230" s="283" t="s">
        <v>219</v>
      </c>
      <c r="D230" s="283" t="s">
        <v>306</v>
      </c>
      <c r="E230" s="286">
        <v>45748</v>
      </c>
      <c r="F230" s="285">
        <v>175000</v>
      </c>
      <c r="G230" s="285">
        <v>339470.45999999996</v>
      </c>
    </row>
    <row r="231" spans="1:7">
      <c r="A231" s="283">
        <v>202</v>
      </c>
      <c r="B231" s="283" t="s">
        <v>262</v>
      </c>
      <c r="C231" s="283" t="s">
        <v>219</v>
      </c>
      <c r="D231" s="283" t="s">
        <v>306</v>
      </c>
      <c r="E231" s="286">
        <v>45748</v>
      </c>
      <c r="F231" s="285">
        <v>22000</v>
      </c>
      <c r="G231" s="285">
        <v>30283.15</v>
      </c>
    </row>
    <row r="232" spans="1:7">
      <c r="A232" s="283">
        <v>208</v>
      </c>
      <c r="B232" s="283" t="s">
        <v>283</v>
      </c>
      <c r="C232" s="283" t="s">
        <v>215</v>
      </c>
      <c r="D232" s="283" t="s">
        <v>231</v>
      </c>
      <c r="E232" s="286">
        <v>45748</v>
      </c>
      <c r="F232" s="285">
        <v>374000</v>
      </c>
      <c r="G232" s="285">
        <v>373407.7182</v>
      </c>
    </row>
    <row r="233" spans="1:7">
      <c r="A233" s="283">
        <v>215</v>
      </c>
      <c r="B233" s="283" t="s">
        <v>295</v>
      </c>
      <c r="C233" s="283" t="s">
        <v>219</v>
      </c>
      <c r="D233" s="283" t="s">
        <v>231</v>
      </c>
      <c r="E233" s="286">
        <v>45748</v>
      </c>
      <c r="F233" s="285">
        <v>300000</v>
      </c>
      <c r="G233" s="285">
        <v>273622.57</v>
      </c>
    </row>
    <row r="234" spans="1:7">
      <c r="A234" s="283">
        <v>217</v>
      </c>
      <c r="B234" s="283" t="s">
        <v>302</v>
      </c>
      <c r="C234" s="283" t="s">
        <v>216</v>
      </c>
      <c r="D234" s="283" t="s">
        <v>299</v>
      </c>
      <c r="E234" s="286">
        <v>45748</v>
      </c>
      <c r="F234" s="285">
        <v>200000</v>
      </c>
      <c r="G234" s="285">
        <v>198060.33</v>
      </c>
    </row>
    <row r="235" spans="1:7">
      <c r="A235" s="283">
        <v>218</v>
      </c>
      <c r="B235" s="283" t="s">
        <v>297</v>
      </c>
      <c r="C235" s="283" t="s">
        <v>298</v>
      </c>
      <c r="D235" s="283" t="s">
        <v>300</v>
      </c>
      <c r="E235" s="286">
        <v>45748</v>
      </c>
      <c r="F235" s="285">
        <v>250000</v>
      </c>
      <c r="G235" s="285">
        <v>0</v>
      </c>
    </row>
    <row r="236" spans="1:7">
      <c r="A236" s="283">
        <v>220</v>
      </c>
      <c r="B236" s="283" t="s">
        <v>305</v>
      </c>
      <c r="C236" s="283" t="s">
        <v>222</v>
      </c>
      <c r="D236" s="283" t="s">
        <v>306</v>
      </c>
      <c r="E236" s="286">
        <v>45748</v>
      </c>
      <c r="F236" s="285">
        <v>0</v>
      </c>
      <c r="G236" s="285">
        <v>0</v>
      </c>
    </row>
    <row r="237" spans="1:7">
      <c r="A237" s="283">
        <v>225</v>
      </c>
      <c r="B237" s="283" t="s">
        <v>313</v>
      </c>
      <c r="C237" s="283" t="s">
        <v>219</v>
      </c>
      <c r="D237" s="283" t="s">
        <v>306</v>
      </c>
      <c r="E237" s="286">
        <v>45748</v>
      </c>
      <c r="F237" s="285">
        <v>0</v>
      </c>
      <c r="G237" s="285">
        <v>0</v>
      </c>
    </row>
    <row r="238" spans="1:7">
      <c r="A238" s="283">
        <v>227</v>
      </c>
      <c r="B238" s="283" t="s">
        <v>303</v>
      </c>
      <c r="C238" s="283" t="s">
        <v>219</v>
      </c>
      <c r="D238" s="283" t="s">
        <v>304</v>
      </c>
      <c r="E238" s="286">
        <v>45748</v>
      </c>
      <c r="F238" s="285">
        <v>0</v>
      </c>
      <c r="G238" s="285">
        <v>0</v>
      </c>
    </row>
    <row r="239" spans="1:7">
      <c r="A239" s="292">
        <v>106</v>
      </c>
      <c r="B239" s="292" t="s">
        <v>210</v>
      </c>
      <c r="C239" s="292" t="s">
        <v>214</v>
      </c>
      <c r="D239" s="292" t="s">
        <v>202</v>
      </c>
      <c r="E239" s="293">
        <v>45778</v>
      </c>
      <c r="F239" s="294">
        <v>260000</v>
      </c>
      <c r="G239" s="294">
        <v>104492.97</v>
      </c>
    </row>
    <row r="240" spans="1:7">
      <c r="A240" s="283">
        <v>154</v>
      </c>
      <c r="B240" s="283" t="s">
        <v>206</v>
      </c>
      <c r="C240" s="283" t="s">
        <v>219</v>
      </c>
      <c r="D240" s="283" t="s">
        <v>306</v>
      </c>
      <c r="E240" s="286">
        <v>45778</v>
      </c>
      <c r="F240" s="285">
        <v>44000</v>
      </c>
      <c r="G240" s="285">
        <v>54238.35</v>
      </c>
    </row>
    <row r="241" spans="1:7">
      <c r="A241" s="283">
        <v>159</v>
      </c>
      <c r="B241" s="283" t="s">
        <v>209</v>
      </c>
      <c r="C241" s="283" t="s">
        <v>215</v>
      </c>
      <c r="D241" s="283" t="s">
        <v>204</v>
      </c>
      <c r="E241" s="286">
        <v>45778</v>
      </c>
      <c r="F241" s="285">
        <v>90000</v>
      </c>
      <c r="G241" s="285">
        <v>204514.16</v>
      </c>
    </row>
    <row r="242" spans="1:7">
      <c r="A242" s="283">
        <v>174</v>
      </c>
      <c r="B242" s="283" t="s">
        <v>226</v>
      </c>
      <c r="C242" s="283" t="s">
        <v>222</v>
      </c>
      <c r="D242" s="283" t="s">
        <v>306</v>
      </c>
      <c r="E242" s="286">
        <v>45778</v>
      </c>
      <c r="F242" s="285">
        <v>175000</v>
      </c>
      <c r="G242" s="285">
        <v>211010.78999999998</v>
      </c>
    </row>
    <row r="243" spans="1:7">
      <c r="A243" s="283">
        <v>175</v>
      </c>
      <c r="B243" s="283" t="s">
        <v>224</v>
      </c>
      <c r="C243" s="283" t="s">
        <v>217</v>
      </c>
      <c r="D243" s="283" t="s">
        <v>225</v>
      </c>
      <c r="E243" s="286">
        <v>45778</v>
      </c>
      <c r="F243" s="285">
        <v>450000</v>
      </c>
      <c r="G243" s="285">
        <v>1044732.9</v>
      </c>
    </row>
    <row r="244" spans="1:7">
      <c r="A244" s="283">
        <v>183</v>
      </c>
      <c r="B244" s="283" t="s">
        <v>232</v>
      </c>
      <c r="C244" s="283" t="s">
        <v>217</v>
      </c>
      <c r="D244" s="283" t="s">
        <v>225</v>
      </c>
      <c r="E244" s="286">
        <v>45778</v>
      </c>
      <c r="F244" s="285">
        <v>0</v>
      </c>
      <c r="G244" s="285">
        <v>0</v>
      </c>
    </row>
    <row r="245" spans="1:7">
      <c r="A245" s="283">
        <v>184</v>
      </c>
      <c r="B245" s="283" t="s">
        <v>265</v>
      </c>
      <c r="C245" s="283" t="s">
        <v>230</v>
      </c>
      <c r="D245" s="283" t="s">
        <v>231</v>
      </c>
      <c r="E245" s="286">
        <v>45778</v>
      </c>
      <c r="F245" s="285">
        <v>400000</v>
      </c>
      <c r="G245" s="285">
        <v>128994.73</v>
      </c>
    </row>
    <row r="246" spans="1:7">
      <c r="A246" s="283">
        <v>184</v>
      </c>
      <c r="B246" s="283" t="s">
        <v>268</v>
      </c>
      <c r="C246" s="283" t="s">
        <v>230</v>
      </c>
      <c r="D246" s="283" t="s">
        <v>231</v>
      </c>
      <c r="E246" s="286">
        <v>45778</v>
      </c>
      <c r="F246" s="285">
        <v>250000</v>
      </c>
      <c r="G246" s="285">
        <v>292819.92</v>
      </c>
    </row>
    <row r="247" spans="1:7">
      <c r="A247" s="283">
        <v>192</v>
      </c>
      <c r="B247" s="283" t="s">
        <v>259</v>
      </c>
      <c r="C247" s="283" t="s">
        <v>219</v>
      </c>
      <c r="D247" s="283" t="s">
        <v>306</v>
      </c>
      <c r="E247" s="286">
        <v>45778</v>
      </c>
      <c r="F247" s="285">
        <v>150000</v>
      </c>
      <c r="G247" s="285">
        <v>92029.67</v>
      </c>
    </row>
    <row r="248" spans="1:7">
      <c r="A248" s="283">
        <v>202</v>
      </c>
      <c r="B248" s="283" t="s">
        <v>262</v>
      </c>
      <c r="C248" s="283" t="s">
        <v>219</v>
      </c>
      <c r="D248" s="283" t="s">
        <v>306</v>
      </c>
      <c r="E248" s="286">
        <v>45778</v>
      </c>
      <c r="F248" s="285">
        <v>0</v>
      </c>
      <c r="G248" s="285">
        <v>0</v>
      </c>
    </row>
    <row r="249" spans="1:7">
      <c r="A249" s="283">
        <v>208</v>
      </c>
      <c r="B249" s="283" t="s">
        <v>283</v>
      </c>
      <c r="C249" s="283" t="s">
        <v>215</v>
      </c>
      <c r="D249" s="283" t="s">
        <v>231</v>
      </c>
      <c r="E249" s="286">
        <v>45778</v>
      </c>
      <c r="F249" s="285">
        <v>350000</v>
      </c>
      <c r="G249" s="285">
        <v>327098.08</v>
      </c>
    </row>
    <row r="250" spans="1:7">
      <c r="A250" s="283">
        <v>215</v>
      </c>
      <c r="B250" s="283" t="s">
        <v>295</v>
      </c>
      <c r="C250" s="283" t="s">
        <v>219</v>
      </c>
      <c r="D250" s="283" t="s">
        <v>231</v>
      </c>
      <c r="E250" s="286">
        <v>45778</v>
      </c>
      <c r="F250" s="285">
        <v>5000</v>
      </c>
      <c r="G250" s="285">
        <v>7295.8399999999992</v>
      </c>
    </row>
    <row r="251" spans="1:7">
      <c r="A251" s="283">
        <v>217</v>
      </c>
      <c r="B251" s="283" t="s">
        <v>302</v>
      </c>
      <c r="C251" s="283" t="s">
        <v>216</v>
      </c>
      <c r="D251" s="283" t="s">
        <v>299</v>
      </c>
      <c r="E251" s="286">
        <v>45778</v>
      </c>
      <c r="F251" s="285">
        <v>0</v>
      </c>
      <c r="G251" s="285">
        <v>221356.49</v>
      </c>
    </row>
    <row r="252" spans="1:7">
      <c r="A252" s="283">
        <v>218</v>
      </c>
      <c r="B252" s="283" t="s">
        <v>297</v>
      </c>
      <c r="C252" s="283" t="s">
        <v>298</v>
      </c>
      <c r="D252" s="283" t="s">
        <v>300</v>
      </c>
      <c r="E252" s="286">
        <v>45778</v>
      </c>
      <c r="F252" s="285">
        <v>0</v>
      </c>
      <c r="G252" s="285">
        <v>0</v>
      </c>
    </row>
    <row r="253" spans="1:7">
      <c r="A253" s="283">
        <v>220</v>
      </c>
      <c r="B253" s="283" t="s">
        <v>305</v>
      </c>
      <c r="C253" s="283" t="s">
        <v>222</v>
      </c>
      <c r="D253" s="283" t="s">
        <v>306</v>
      </c>
      <c r="E253" s="286">
        <v>45778</v>
      </c>
      <c r="F253" s="285">
        <v>0</v>
      </c>
      <c r="G253" s="285">
        <v>0</v>
      </c>
    </row>
    <row r="254" spans="1:7">
      <c r="A254" s="283">
        <v>225</v>
      </c>
      <c r="B254" s="283" t="s">
        <v>313</v>
      </c>
      <c r="C254" s="283" t="s">
        <v>219</v>
      </c>
      <c r="D254" s="283" t="s">
        <v>306</v>
      </c>
      <c r="E254" s="286">
        <v>45778</v>
      </c>
      <c r="F254" s="285">
        <v>106731.25</v>
      </c>
      <c r="G254" s="285">
        <v>106731.25</v>
      </c>
    </row>
    <row r="255" spans="1:7">
      <c r="A255" s="283">
        <v>227</v>
      </c>
      <c r="B255" s="283" t="s">
        <v>303</v>
      </c>
      <c r="C255" s="283" t="s">
        <v>219</v>
      </c>
      <c r="D255" s="283" t="s">
        <v>304</v>
      </c>
      <c r="E255" s="286">
        <v>45778</v>
      </c>
      <c r="F255" s="285">
        <v>0</v>
      </c>
      <c r="G255" s="285">
        <v>0</v>
      </c>
    </row>
    <row r="256" spans="1:7">
      <c r="A256" s="292">
        <v>106</v>
      </c>
      <c r="B256" s="292" t="s">
        <v>210</v>
      </c>
      <c r="C256" s="292" t="s">
        <v>214</v>
      </c>
      <c r="D256" s="292" t="s">
        <v>202</v>
      </c>
      <c r="E256" s="293">
        <v>45809</v>
      </c>
      <c r="F256" s="294">
        <v>440000</v>
      </c>
      <c r="G256" s="294">
        <v>0</v>
      </c>
    </row>
    <row r="257" spans="1:7">
      <c r="A257" s="283">
        <v>154</v>
      </c>
      <c r="B257" s="283" t="s">
        <v>206</v>
      </c>
      <c r="C257" s="283" t="s">
        <v>219</v>
      </c>
      <c r="D257" s="283" t="s">
        <v>306</v>
      </c>
      <c r="E257" s="286">
        <v>45809</v>
      </c>
      <c r="F257" s="291">
        <v>130000</v>
      </c>
      <c r="G257" s="291">
        <v>109690.26</v>
      </c>
    </row>
    <row r="258" spans="1:7">
      <c r="A258" s="283">
        <v>159</v>
      </c>
      <c r="B258" s="283" t="s">
        <v>209</v>
      </c>
      <c r="C258" s="283" t="s">
        <v>215</v>
      </c>
      <c r="D258" s="283" t="s">
        <v>204</v>
      </c>
      <c r="E258" s="286">
        <v>45809</v>
      </c>
      <c r="F258" s="291">
        <v>12000</v>
      </c>
      <c r="G258" s="291">
        <v>51483.81</v>
      </c>
    </row>
    <row r="259" spans="1:7">
      <c r="A259" s="283">
        <v>174</v>
      </c>
      <c r="B259" s="283" t="s">
        <v>226</v>
      </c>
      <c r="C259" s="283" t="s">
        <v>222</v>
      </c>
      <c r="D259" s="283" t="s">
        <v>306</v>
      </c>
      <c r="E259" s="286">
        <v>45809</v>
      </c>
      <c r="F259" s="291">
        <v>200000</v>
      </c>
      <c r="G259" s="291">
        <v>128317.21</v>
      </c>
    </row>
    <row r="260" spans="1:7">
      <c r="A260" s="283">
        <v>175</v>
      </c>
      <c r="B260" s="283" t="s">
        <v>224</v>
      </c>
      <c r="C260" s="283" t="s">
        <v>217</v>
      </c>
      <c r="D260" s="283" t="s">
        <v>225</v>
      </c>
      <c r="E260" s="286">
        <v>45809</v>
      </c>
      <c r="F260" s="291">
        <v>175000</v>
      </c>
      <c r="G260" s="291">
        <v>423306.62</v>
      </c>
    </row>
    <row r="261" spans="1:7">
      <c r="A261" s="283">
        <v>183</v>
      </c>
      <c r="B261" s="283" t="s">
        <v>232</v>
      </c>
      <c r="C261" s="283" t="s">
        <v>217</v>
      </c>
      <c r="D261" s="283" t="s">
        <v>225</v>
      </c>
      <c r="E261" s="286">
        <v>45809</v>
      </c>
      <c r="F261" s="291">
        <v>120000</v>
      </c>
      <c r="G261" s="291">
        <v>142089.04</v>
      </c>
    </row>
    <row r="262" spans="1:7">
      <c r="A262" s="283">
        <v>184</v>
      </c>
      <c r="B262" s="283" t="s">
        <v>265</v>
      </c>
      <c r="C262" s="283" t="s">
        <v>230</v>
      </c>
      <c r="D262" s="283" t="s">
        <v>231</v>
      </c>
      <c r="E262" s="286">
        <v>45809</v>
      </c>
      <c r="F262" s="291">
        <v>250000</v>
      </c>
      <c r="G262" s="291">
        <v>285642.42</v>
      </c>
    </row>
    <row r="263" spans="1:7">
      <c r="A263" s="283">
        <v>184</v>
      </c>
      <c r="B263" s="283" t="s">
        <v>268</v>
      </c>
      <c r="C263" s="283" t="s">
        <v>230</v>
      </c>
      <c r="D263" s="283" t="s">
        <v>231</v>
      </c>
      <c r="E263" s="286">
        <v>45809</v>
      </c>
      <c r="F263" s="291">
        <v>150000</v>
      </c>
      <c r="G263" s="291">
        <v>124599.02</v>
      </c>
    </row>
    <row r="264" spans="1:7">
      <c r="A264" s="283">
        <v>192</v>
      </c>
      <c r="B264" s="283" t="s">
        <v>259</v>
      </c>
      <c r="C264" s="283" t="s">
        <v>219</v>
      </c>
      <c r="D264" s="283" t="s">
        <v>306</v>
      </c>
      <c r="E264" s="286">
        <v>45809</v>
      </c>
      <c r="F264" s="291">
        <v>50000</v>
      </c>
      <c r="G264" s="291">
        <v>24437.65</v>
      </c>
    </row>
    <row r="265" spans="1:7">
      <c r="A265" s="283">
        <v>202</v>
      </c>
      <c r="B265" s="283" t="s">
        <v>262</v>
      </c>
      <c r="C265" s="283" t="s">
        <v>219</v>
      </c>
      <c r="D265" s="283" t="s">
        <v>306</v>
      </c>
      <c r="E265" s="286">
        <v>45809</v>
      </c>
      <c r="F265" s="291">
        <v>25000</v>
      </c>
      <c r="G265" s="291">
        <v>30495.67</v>
      </c>
    </row>
    <row r="266" spans="1:7">
      <c r="A266" s="283">
        <v>208</v>
      </c>
      <c r="B266" s="283" t="s">
        <v>283</v>
      </c>
      <c r="C266" s="283" t="s">
        <v>215</v>
      </c>
      <c r="D266" s="283" t="s">
        <v>231</v>
      </c>
      <c r="E266" s="286">
        <v>45809</v>
      </c>
      <c r="F266" s="291">
        <v>577754</v>
      </c>
      <c r="G266" s="291">
        <v>759750.85</v>
      </c>
    </row>
    <row r="267" spans="1:7">
      <c r="A267" s="283">
        <v>215</v>
      </c>
      <c r="B267" s="283" t="s">
        <v>295</v>
      </c>
      <c r="C267" s="283" t="s">
        <v>219</v>
      </c>
      <c r="D267" s="283" t="s">
        <v>231</v>
      </c>
      <c r="E267" s="286">
        <v>45809</v>
      </c>
      <c r="F267" s="291">
        <v>5000</v>
      </c>
      <c r="G267" s="291">
        <v>6316.66</v>
      </c>
    </row>
    <row r="268" spans="1:7">
      <c r="A268" s="283">
        <v>217</v>
      </c>
      <c r="B268" s="283" t="s">
        <v>302</v>
      </c>
      <c r="C268" s="283" t="s">
        <v>216</v>
      </c>
      <c r="D268" s="283" t="s">
        <v>299</v>
      </c>
      <c r="E268" s="286">
        <v>45809</v>
      </c>
      <c r="F268" s="291">
        <v>0</v>
      </c>
      <c r="G268" s="291">
        <v>0</v>
      </c>
    </row>
    <row r="269" spans="1:7">
      <c r="A269" s="283">
        <v>218</v>
      </c>
      <c r="B269" s="283" t="s">
        <v>297</v>
      </c>
      <c r="C269" s="283" t="s">
        <v>298</v>
      </c>
      <c r="D269" s="283" t="s">
        <v>300</v>
      </c>
      <c r="E269" s="286">
        <v>45809</v>
      </c>
      <c r="F269" s="291">
        <v>450000</v>
      </c>
      <c r="G269" s="291">
        <v>549344.87</v>
      </c>
    </row>
    <row r="270" spans="1:7">
      <c r="A270" s="283">
        <v>220</v>
      </c>
      <c r="B270" s="283" t="s">
        <v>305</v>
      </c>
      <c r="C270" s="283" t="s">
        <v>222</v>
      </c>
      <c r="D270" s="283" t="s">
        <v>306</v>
      </c>
      <c r="E270" s="286">
        <v>45809</v>
      </c>
      <c r="F270" s="291">
        <v>150000</v>
      </c>
      <c r="G270" s="291">
        <v>147743.85</v>
      </c>
    </row>
    <row r="271" spans="1:7">
      <c r="A271" s="283">
        <v>225</v>
      </c>
      <c r="B271" s="283" t="s">
        <v>313</v>
      </c>
      <c r="C271" s="283" t="s">
        <v>219</v>
      </c>
      <c r="D271" s="283" t="s">
        <v>306</v>
      </c>
      <c r="E271" s="286">
        <v>45809</v>
      </c>
      <c r="F271" s="291">
        <v>279614</v>
      </c>
      <c r="G271" s="291">
        <v>223790.63</v>
      </c>
    </row>
    <row r="272" spans="1:7">
      <c r="A272" s="283">
        <v>227</v>
      </c>
      <c r="B272" s="283" t="s">
        <v>303</v>
      </c>
      <c r="C272" s="283" t="s">
        <v>219</v>
      </c>
      <c r="D272" s="283" t="s">
        <v>304</v>
      </c>
      <c r="E272" s="286">
        <v>45809</v>
      </c>
      <c r="F272" s="291">
        <v>80000</v>
      </c>
      <c r="G272" s="291">
        <v>0</v>
      </c>
    </row>
    <row r="273" spans="1:7">
      <c r="A273" s="292">
        <v>106</v>
      </c>
      <c r="B273" s="292" t="s">
        <v>210</v>
      </c>
      <c r="C273" s="292" t="s">
        <v>214</v>
      </c>
      <c r="D273" s="292" t="s">
        <v>202</v>
      </c>
      <c r="E273" s="293">
        <v>45839</v>
      </c>
      <c r="F273" s="294">
        <v>0</v>
      </c>
      <c r="G273" s="294">
        <v>187500</v>
      </c>
    </row>
    <row r="274" spans="1:7">
      <c r="A274" s="283">
        <v>154</v>
      </c>
      <c r="B274" s="283" t="s">
        <v>206</v>
      </c>
      <c r="C274" s="283" t="s">
        <v>219</v>
      </c>
      <c r="D274" s="283" t="s">
        <v>306</v>
      </c>
      <c r="E274" s="286">
        <v>45839</v>
      </c>
      <c r="F274" s="285">
        <v>0</v>
      </c>
      <c r="G274" s="285">
        <v>0</v>
      </c>
    </row>
    <row r="275" spans="1:7">
      <c r="A275" s="283">
        <v>159</v>
      </c>
      <c r="B275" s="283" t="s">
        <v>209</v>
      </c>
      <c r="C275" s="283" t="s">
        <v>215</v>
      </c>
      <c r="D275" s="283" t="s">
        <v>204</v>
      </c>
      <c r="E275" s="286">
        <v>45839</v>
      </c>
      <c r="F275" s="285">
        <v>620000</v>
      </c>
      <c r="G275" s="285">
        <v>181750.65</v>
      </c>
    </row>
    <row r="276" spans="1:7">
      <c r="A276" s="283">
        <v>174</v>
      </c>
      <c r="B276" s="283" t="s">
        <v>226</v>
      </c>
      <c r="C276" s="283" t="s">
        <v>222</v>
      </c>
      <c r="D276" s="283" t="s">
        <v>306</v>
      </c>
      <c r="E276" s="286">
        <v>45839</v>
      </c>
      <c r="F276" s="285">
        <v>226000</v>
      </c>
      <c r="G276" s="294">
        <v>100000</v>
      </c>
    </row>
    <row r="277" spans="1:7">
      <c r="A277" s="283">
        <v>183</v>
      </c>
      <c r="B277" s="283" t="s">
        <v>232</v>
      </c>
      <c r="C277" s="283" t="s">
        <v>217</v>
      </c>
      <c r="D277" s="283" t="s">
        <v>225</v>
      </c>
      <c r="E277" s="286">
        <v>45839</v>
      </c>
      <c r="F277" s="285">
        <v>60000</v>
      </c>
      <c r="G277" s="285">
        <v>0</v>
      </c>
    </row>
    <row r="278" spans="1:7">
      <c r="A278" s="283">
        <v>184</v>
      </c>
      <c r="B278" s="283" t="s">
        <v>265</v>
      </c>
      <c r="C278" s="283" t="s">
        <v>230</v>
      </c>
      <c r="D278" s="283" t="s">
        <v>231</v>
      </c>
      <c r="E278" s="286">
        <v>45839</v>
      </c>
      <c r="F278" s="285">
        <v>850000</v>
      </c>
      <c r="G278" s="285">
        <v>476000.15</v>
      </c>
    </row>
    <row r="279" spans="1:7">
      <c r="A279" s="283">
        <v>184</v>
      </c>
      <c r="B279" s="283" t="s">
        <v>268</v>
      </c>
      <c r="C279" s="283" t="s">
        <v>230</v>
      </c>
      <c r="D279" s="283" t="s">
        <v>231</v>
      </c>
      <c r="E279" s="286">
        <v>45839</v>
      </c>
      <c r="F279" s="285">
        <v>540000</v>
      </c>
      <c r="G279" s="285">
        <v>187298.03</v>
      </c>
    </row>
    <row r="280" spans="1:7">
      <c r="A280" s="283">
        <v>192</v>
      </c>
      <c r="B280" s="283" t="s">
        <v>259</v>
      </c>
      <c r="C280" s="283" t="s">
        <v>219</v>
      </c>
      <c r="D280" s="283" t="s">
        <v>306</v>
      </c>
      <c r="E280" s="286">
        <v>45839</v>
      </c>
      <c r="F280" s="285">
        <v>35000</v>
      </c>
      <c r="G280" s="285">
        <v>0</v>
      </c>
    </row>
    <row r="281" spans="1:7">
      <c r="A281" s="283">
        <v>202</v>
      </c>
      <c r="B281" s="283" t="s">
        <v>262</v>
      </c>
      <c r="C281" s="283" t="s">
        <v>219</v>
      </c>
      <c r="D281" s="283" t="s">
        <v>306</v>
      </c>
      <c r="E281" s="286">
        <v>45839</v>
      </c>
      <c r="F281" s="285">
        <v>135000</v>
      </c>
      <c r="G281" s="285">
        <v>0</v>
      </c>
    </row>
    <row r="282" spans="1:7">
      <c r="A282" s="283">
        <v>208</v>
      </c>
      <c r="B282" s="283" t="s">
        <v>283</v>
      </c>
      <c r="C282" s="283" t="s">
        <v>215</v>
      </c>
      <c r="D282" s="283" t="s">
        <v>231</v>
      </c>
      <c r="E282" s="286">
        <v>45839</v>
      </c>
      <c r="F282" s="285">
        <v>650000</v>
      </c>
      <c r="G282" s="285">
        <v>481341.82</v>
      </c>
    </row>
    <row r="283" spans="1:7">
      <c r="A283" s="283">
        <v>215</v>
      </c>
      <c r="B283" s="283" t="s">
        <v>295</v>
      </c>
      <c r="C283" s="283" t="s">
        <v>219</v>
      </c>
      <c r="D283" s="283" t="s">
        <v>231</v>
      </c>
      <c r="E283" s="286">
        <v>45839</v>
      </c>
      <c r="F283" s="285">
        <v>6000</v>
      </c>
      <c r="G283" s="285">
        <v>0</v>
      </c>
    </row>
    <row r="284" spans="1:7">
      <c r="A284" s="283">
        <v>217</v>
      </c>
      <c r="B284" s="283" t="s">
        <v>302</v>
      </c>
      <c r="C284" s="283" t="s">
        <v>216</v>
      </c>
      <c r="D284" s="283" t="s">
        <v>299</v>
      </c>
      <c r="E284" s="286">
        <v>45839</v>
      </c>
      <c r="F284" s="285">
        <v>0</v>
      </c>
      <c r="G284" s="285">
        <v>11623.23</v>
      </c>
    </row>
    <row r="285" spans="1:7">
      <c r="A285" s="283">
        <v>218</v>
      </c>
      <c r="B285" s="283" t="s">
        <v>297</v>
      </c>
      <c r="C285" s="283" t="s">
        <v>298</v>
      </c>
      <c r="D285" s="283" t="s">
        <v>300</v>
      </c>
      <c r="E285" s="286">
        <v>45839</v>
      </c>
      <c r="F285" s="285">
        <v>350000</v>
      </c>
      <c r="G285" s="285">
        <v>0</v>
      </c>
    </row>
    <row r="286" spans="1:7">
      <c r="A286" s="283">
        <v>220</v>
      </c>
      <c r="B286" s="283" t="s">
        <v>305</v>
      </c>
      <c r="C286" s="283" t="s">
        <v>222</v>
      </c>
      <c r="D286" s="283" t="s">
        <v>306</v>
      </c>
      <c r="E286" s="286">
        <v>45839</v>
      </c>
      <c r="F286" s="285">
        <v>150000</v>
      </c>
      <c r="G286" s="285">
        <v>0</v>
      </c>
    </row>
    <row r="287" spans="1:7">
      <c r="A287" s="283">
        <v>225</v>
      </c>
      <c r="B287" s="283" t="s">
        <v>313</v>
      </c>
      <c r="C287" s="283" t="s">
        <v>219</v>
      </c>
      <c r="D287" s="283" t="s">
        <v>306</v>
      </c>
      <c r="E287" s="286">
        <v>45839</v>
      </c>
      <c r="F287" s="285">
        <v>0</v>
      </c>
      <c r="G287" s="285">
        <v>0</v>
      </c>
    </row>
    <row r="288" spans="1:7">
      <c r="A288" s="283">
        <v>227</v>
      </c>
      <c r="B288" s="283" t="s">
        <v>303</v>
      </c>
      <c r="C288" s="283" t="s">
        <v>219</v>
      </c>
      <c r="D288" s="283" t="s">
        <v>304</v>
      </c>
      <c r="E288" s="286">
        <v>45839</v>
      </c>
      <c r="F288" s="285">
        <v>80000</v>
      </c>
      <c r="G288" s="28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19"/>
  <sheetViews>
    <sheetView workbookViewId="0">
      <selection activeCell="H8" sqref="H8"/>
    </sheetView>
  </sheetViews>
  <sheetFormatPr defaultRowHeight="14.4"/>
  <cols>
    <col min="1" max="1" width="16" customWidth="1"/>
    <col min="2" max="2" width="35.77734375" customWidth="1"/>
    <col min="3" max="3" width="10.77734375" customWidth="1"/>
    <col min="4" max="4" width="11.5546875" customWidth="1"/>
    <col min="5" max="5" width="17.6640625" customWidth="1"/>
  </cols>
  <sheetData>
    <row r="1" spans="1:5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314</v>
      </c>
    </row>
    <row r="2" spans="1:5">
      <c r="A2" s="283">
        <v>106</v>
      </c>
      <c r="B2" s="283" t="s">
        <v>210</v>
      </c>
      <c r="C2" s="283" t="s">
        <v>214</v>
      </c>
      <c r="D2" s="283" t="s">
        <v>202</v>
      </c>
      <c r="E2" s="290"/>
    </row>
    <row r="3" spans="1:5">
      <c r="A3" s="283">
        <v>154</v>
      </c>
      <c r="B3" s="283" t="s">
        <v>206</v>
      </c>
      <c r="C3" s="283" t="s">
        <v>219</v>
      </c>
      <c r="D3" s="283" t="s">
        <v>306</v>
      </c>
      <c r="E3" s="290"/>
    </row>
    <row r="4" spans="1:5">
      <c r="A4" s="283">
        <v>159</v>
      </c>
      <c r="B4" s="283" t="s">
        <v>309</v>
      </c>
      <c r="C4" s="283" t="s">
        <v>215</v>
      </c>
      <c r="D4" s="283" t="s">
        <v>204</v>
      </c>
      <c r="E4" s="290"/>
    </row>
    <row r="5" spans="1:5">
      <c r="A5" s="283">
        <v>162</v>
      </c>
      <c r="B5" s="283" t="s">
        <v>208</v>
      </c>
      <c r="C5" s="283" t="s">
        <v>216</v>
      </c>
      <c r="D5" s="283" t="s">
        <v>203</v>
      </c>
      <c r="E5" s="290"/>
    </row>
    <row r="6" spans="1:5">
      <c r="A6" s="283">
        <v>174</v>
      </c>
      <c r="B6" s="283" t="s">
        <v>226</v>
      </c>
      <c r="C6" s="283" t="s">
        <v>222</v>
      </c>
      <c r="D6" s="283" t="s">
        <v>306</v>
      </c>
      <c r="E6" s="290">
        <v>3652265</v>
      </c>
    </row>
    <row r="7" spans="1:5">
      <c r="A7" s="283">
        <v>175</v>
      </c>
      <c r="B7" s="283" t="s">
        <v>224</v>
      </c>
      <c r="C7" s="283" t="s">
        <v>217</v>
      </c>
      <c r="D7" s="283" t="s">
        <v>225</v>
      </c>
      <c r="E7" s="290"/>
    </row>
    <row r="8" spans="1:5">
      <c r="A8" s="283">
        <v>183</v>
      </c>
      <c r="B8" s="283" t="s">
        <v>232</v>
      </c>
      <c r="C8" s="283" t="s">
        <v>217</v>
      </c>
      <c r="D8" s="283" t="s">
        <v>225</v>
      </c>
      <c r="E8" s="290">
        <v>7477538.2800000003</v>
      </c>
    </row>
    <row r="9" spans="1:5">
      <c r="A9" s="283">
        <v>184</v>
      </c>
      <c r="B9" s="283" t="s">
        <v>265</v>
      </c>
      <c r="C9" s="283" t="s">
        <v>230</v>
      </c>
      <c r="D9" s="283" t="s">
        <v>231</v>
      </c>
      <c r="E9" s="290"/>
    </row>
    <row r="10" spans="1:5">
      <c r="A10" s="283">
        <v>184</v>
      </c>
      <c r="B10" s="283" t="s">
        <v>268</v>
      </c>
      <c r="C10" s="283" t="s">
        <v>230</v>
      </c>
      <c r="D10" s="283" t="s">
        <v>231</v>
      </c>
      <c r="E10" s="290"/>
    </row>
    <row r="11" spans="1:5">
      <c r="A11" s="283">
        <v>192</v>
      </c>
      <c r="B11" s="283" t="s">
        <v>259</v>
      </c>
      <c r="C11" s="283" t="s">
        <v>219</v>
      </c>
      <c r="D11" s="283" t="s">
        <v>306</v>
      </c>
      <c r="E11" s="290">
        <v>4189919.36</v>
      </c>
    </row>
    <row r="12" spans="1:5">
      <c r="A12" s="283">
        <v>202</v>
      </c>
      <c r="B12" s="283" t="s">
        <v>262</v>
      </c>
      <c r="C12" s="283" t="s">
        <v>219</v>
      </c>
      <c r="D12" s="283" t="s">
        <v>306</v>
      </c>
      <c r="E12" s="290">
        <v>4987983.1400000006</v>
      </c>
    </row>
    <row r="13" spans="1:5">
      <c r="A13" s="283">
        <v>208</v>
      </c>
      <c r="B13" s="283" t="s">
        <v>283</v>
      </c>
      <c r="C13" s="283" t="s">
        <v>215</v>
      </c>
      <c r="D13" s="283" t="s">
        <v>231</v>
      </c>
      <c r="E13" s="290">
        <v>21035364.170000002</v>
      </c>
    </row>
    <row r="14" spans="1:5">
      <c r="A14" s="283">
        <v>215</v>
      </c>
      <c r="B14" s="283" t="s">
        <v>295</v>
      </c>
      <c r="C14" s="283" t="s">
        <v>219</v>
      </c>
      <c r="D14" s="283" t="s">
        <v>231</v>
      </c>
      <c r="E14" s="290">
        <v>68649995.049999997</v>
      </c>
    </row>
    <row r="15" spans="1:5">
      <c r="A15" s="283">
        <v>217</v>
      </c>
      <c r="B15" s="283" t="s">
        <v>302</v>
      </c>
      <c r="C15" s="283" t="s">
        <v>216</v>
      </c>
      <c r="D15" s="283" t="s">
        <v>299</v>
      </c>
      <c r="E15" s="290">
        <v>45864999.119999997</v>
      </c>
    </row>
    <row r="16" spans="1:5">
      <c r="A16" s="283">
        <v>218</v>
      </c>
      <c r="B16" s="283" t="s">
        <v>297</v>
      </c>
      <c r="C16" s="283" t="s">
        <v>298</v>
      </c>
      <c r="D16" s="283" t="s">
        <v>300</v>
      </c>
      <c r="E16" s="290">
        <v>41799747.789999999</v>
      </c>
    </row>
    <row r="17" spans="1:5">
      <c r="A17" s="283">
        <v>220</v>
      </c>
      <c r="B17" s="283" t="s">
        <v>305</v>
      </c>
      <c r="C17" s="283" t="s">
        <v>222</v>
      </c>
      <c r="D17" s="283" t="s">
        <v>306</v>
      </c>
      <c r="E17" s="290">
        <v>17074150</v>
      </c>
    </row>
    <row r="18" spans="1:5">
      <c r="A18" s="283">
        <v>225</v>
      </c>
      <c r="B18" s="283" t="s">
        <v>313</v>
      </c>
      <c r="C18" s="283" t="s">
        <v>219</v>
      </c>
      <c r="D18" s="283" t="s">
        <v>306</v>
      </c>
      <c r="E18" s="290"/>
    </row>
    <row r="19" spans="1:5">
      <c r="A19" s="283">
        <v>227</v>
      </c>
      <c r="B19" s="283" t="s">
        <v>303</v>
      </c>
      <c r="C19" s="283" t="s">
        <v>219</v>
      </c>
      <c r="D19" s="283" t="s">
        <v>304</v>
      </c>
      <c r="E19" s="29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22" t="s">
        <v>284</v>
      </c>
      <c r="F6" s="323"/>
      <c r="G6" s="323"/>
      <c r="H6" s="323"/>
    </row>
    <row r="7" spans="5:8" s="1" customFormat="1" ht="31.2">
      <c r="E7" s="259" t="s">
        <v>285</v>
      </c>
      <c r="F7" s="259" t="s">
        <v>288</v>
      </c>
      <c r="G7" s="260" t="s">
        <v>290</v>
      </c>
      <c r="H7" s="259" t="s">
        <v>289</v>
      </c>
    </row>
    <row r="8" spans="5:8" ht="15.6">
      <c r="E8" s="261" t="s">
        <v>292</v>
      </c>
      <c r="F8" s="262">
        <v>8286</v>
      </c>
      <c r="G8" s="263">
        <v>45618</v>
      </c>
      <c r="H8" s="264">
        <v>330215.12</v>
      </c>
    </row>
    <row r="9" spans="5:8" ht="15.6">
      <c r="E9" s="261" t="s">
        <v>286</v>
      </c>
      <c r="F9" s="262">
        <v>8307</v>
      </c>
      <c r="G9" s="263">
        <v>45636</v>
      </c>
      <c r="H9" s="264">
        <v>94644.53</v>
      </c>
    </row>
    <row r="10" spans="5:8" ht="15.6">
      <c r="E10" s="261" t="s">
        <v>287</v>
      </c>
      <c r="F10" s="262">
        <v>8352</v>
      </c>
      <c r="G10" s="263">
        <v>45649</v>
      </c>
      <c r="H10" s="264">
        <v>158300.35999999999</v>
      </c>
    </row>
    <row r="11" spans="5:8" ht="15.6">
      <c r="E11" s="324" t="s">
        <v>291</v>
      </c>
      <c r="F11" s="324"/>
      <c r="G11" s="324"/>
      <c r="H11" s="26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36">
        <v>2024</v>
      </c>
      <c r="H2" s="242"/>
      <c r="I2" s="242"/>
      <c r="J2" s="242"/>
      <c r="K2" s="242"/>
      <c r="L2" s="325" t="str">
        <f>'RESUMO-2024'!F5</f>
        <v>FATURADO R$ 
BRUTO</v>
      </c>
      <c r="M2" s="326"/>
    </row>
    <row r="3" spans="7:13">
      <c r="G3" s="239" t="s">
        <v>270</v>
      </c>
      <c r="H3" s="239"/>
      <c r="I3" s="239"/>
      <c r="J3" s="239"/>
      <c r="K3" s="239"/>
      <c r="L3" s="240">
        <f>'RESUMO-2024'!F32</f>
        <v>2606222.1800000002</v>
      </c>
      <c r="M3" s="237" t="s">
        <v>278</v>
      </c>
    </row>
    <row r="4" spans="7:13">
      <c r="G4" s="239" t="s">
        <v>271</v>
      </c>
      <c r="H4" s="239"/>
      <c r="I4" s="239"/>
      <c r="J4" s="239"/>
      <c r="K4" s="239"/>
      <c r="L4" s="240">
        <f>'RESUMO-2024'!J32</f>
        <v>2957357.8640999999</v>
      </c>
      <c r="M4" s="237" t="s">
        <v>278</v>
      </c>
    </row>
    <row r="5" spans="7:13">
      <c r="G5" s="239" t="s">
        <v>272</v>
      </c>
      <c r="H5" s="239"/>
      <c r="I5" s="239"/>
      <c r="J5" s="239"/>
      <c r="K5" s="239"/>
      <c r="L5" s="240">
        <f>'RESUMO-2024'!N32</f>
        <v>2755868.443</v>
      </c>
      <c r="M5" s="237" t="s">
        <v>278</v>
      </c>
    </row>
    <row r="6" spans="7:13">
      <c r="G6" s="239" t="s">
        <v>273</v>
      </c>
      <c r="H6" s="239"/>
      <c r="I6" s="239"/>
      <c r="J6" s="239"/>
      <c r="K6" s="239"/>
      <c r="L6" s="240">
        <f>'RESUMO-2024'!R32</f>
        <v>2386674.817845</v>
      </c>
      <c r="M6" s="237" t="s">
        <v>278</v>
      </c>
    </row>
    <row r="7" spans="7:13">
      <c r="G7" s="239" t="s">
        <v>274</v>
      </c>
      <c r="H7" s="239"/>
      <c r="I7" s="239"/>
      <c r="J7" s="239"/>
      <c r="K7" s="239"/>
      <c r="L7" s="240">
        <f>'RESUMO-2024'!V32</f>
        <v>4050186.3099999996</v>
      </c>
      <c r="M7" s="237" t="s">
        <v>278</v>
      </c>
    </row>
    <row r="8" spans="7:13">
      <c r="G8" s="239" t="s">
        <v>275</v>
      </c>
      <c r="H8" s="239"/>
      <c r="I8" s="239"/>
      <c r="J8" s="239"/>
      <c r="K8" s="239"/>
      <c r="L8" s="240">
        <f>'RESUMO-2024'!Z32</f>
        <v>6261051.3027019985</v>
      </c>
      <c r="M8" s="237" t="s">
        <v>278</v>
      </c>
    </row>
    <row r="9" spans="7:13">
      <c r="G9" s="239" t="s">
        <v>276</v>
      </c>
      <c r="H9" s="239"/>
      <c r="I9" s="239"/>
      <c r="J9" s="239"/>
      <c r="K9" s="239"/>
      <c r="L9" s="240">
        <f>'RESUMO-2024'!AD32</f>
        <v>2381803.4714001804</v>
      </c>
      <c r="M9" s="237" t="s">
        <v>278</v>
      </c>
    </row>
    <row r="10" spans="7:13">
      <c r="G10" s="239" t="s">
        <v>277</v>
      </c>
      <c r="H10" s="239"/>
      <c r="I10" s="239"/>
      <c r="J10" s="239"/>
      <c r="K10" s="239"/>
      <c r="L10" s="240">
        <f>'RESUMO-2024'!AH32</f>
        <v>3365276.77</v>
      </c>
      <c r="M10" s="237" t="s">
        <v>278</v>
      </c>
    </row>
    <row r="11" spans="7:13">
      <c r="G11" s="239" t="s">
        <v>237</v>
      </c>
      <c r="H11" s="239"/>
      <c r="I11" s="239"/>
      <c r="J11" s="239"/>
      <c r="K11" s="239"/>
      <c r="L11" s="240">
        <f>'RESUMO-2024'!AL32</f>
        <v>3587941.0009999992</v>
      </c>
      <c r="M11" s="237" t="s">
        <v>278</v>
      </c>
    </row>
    <row r="12" spans="7:13">
      <c r="G12" s="239" t="s">
        <v>238</v>
      </c>
      <c r="H12" s="239"/>
      <c r="I12" s="239"/>
      <c r="J12" s="239"/>
      <c r="K12" s="239"/>
      <c r="L12" s="240">
        <f>'RESUMO-2024'!AO32</f>
        <v>2581500</v>
      </c>
      <c r="M12" s="238" t="s">
        <v>279</v>
      </c>
    </row>
    <row r="13" spans="7:13">
      <c r="G13" s="239" t="s">
        <v>239</v>
      </c>
      <c r="H13" s="239"/>
      <c r="I13" s="239"/>
      <c r="J13" s="239"/>
      <c r="K13" s="239"/>
      <c r="L13" s="240">
        <f>'RESUMO-2024'!AS32</f>
        <v>2680000</v>
      </c>
      <c r="M13" s="238" t="s">
        <v>279</v>
      </c>
    </row>
    <row r="14" spans="7:13">
      <c r="G14" s="239" t="s">
        <v>240</v>
      </c>
      <c r="H14" s="239"/>
      <c r="I14" s="239"/>
      <c r="J14" s="239"/>
      <c r="K14" s="239"/>
      <c r="L14" s="240">
        <f>'RESUMO-2024'!AW32</f>
        <v>2611699.1364380103</v>
      </c>
      <c r="M14" s="238" t="s">
        <v>279</v>
      </c>
    </row>
    <row r="15" spans="7:13">
      <c r="G15" s="239" t="s">
        <v>121</v>
      </c>
      <c r="H15" s="239"/>
      <c r="I15" s="239"/>
      <c r="J15" s="239"/>
      <c r="K15" s="239"/>
      <c r="L15" s="241">
        <f>SUM(L3:L14)</f>
        <v>38225581.296485186</v>
      </c>
    </row>
    <row r="23" spans="7:13" ht="19.8">
      <c r="G23" s="236" t="s">
        <v>234</v>
      </c>
      <c r="H23" s="236" t="s">
        <v>241</v>
      </c>
      <c r="I23" s="236" t="s">
        <v>242</v>
      </c>
      <c r="J23" s="236" t="s">
        <v>241</v>
      </c>
      <c r="K23" s="236" t="s">
        <v>242</v>
      </c>
      <c r="L23" s="236" t="s">
        <v>241</v>
      </c>
      <c r="M23" s="236" t="s">
        <v>242</v>
      </c>
    </row>
    <row r="24" spans="7:13" ht="19.8">
      <c r="G24" s="236"/>
      <c r="H24" s="327">
        <v>45505</v>
      </c>
      <c r="I24" s="326"/>
      <c r="J24" s="327">
        <v>45536</v>
      </c>
      <c r="K24" s="326"/>
      <c r="L24" s="327">
        <v>45566</v>
      </c>
      <c r="M24" s="326"/>
    </row>
    <row r="25" spans="7:13">
      <c r="G25" s="244" t="s">
        <v>210</v>
      </c>
      <c r="H25" s="245">
        <v>275000</v>
      </c>
      <c r="I25" s="245">
        <v>283123.64</v>
      </c>
      <c r="J25" s="245">
        <v>275000</v>
      </c>
      <c r="K25" s="245">
        <v>283123.64</v>
      </c>
      <c r="L25" s="245">
        <v>250000</v>
      </c>
      <c r="M25" s="245">
        <v>0</v>
      </c>
    </row>
    <row r="26" spans="7:13">
      <c r="G26" s="244" t="s">
        <v>209</v>
      </c>
      <c r="H26" s="245">
        <v>350000</v>
      </c>
      <c r="I26" s="245">
        <v>396036.08</v>
      </c>
      <c r="J26" s="245">
        <v>350000</v>
      </c>
      <c r="K26" s="245">
        <v>396036.08</v>
      </c>
      <c r="L26" s="245">
        <v>605000</v>
      </c>
      <c r="M26" s="245">
        <v>0</v>
      </c>
    </row>
    <row r="27" spans="7:13">
      <c r="G27" s="244" t="s">
        <v>226</v>
      </c>
      <c r="H27" s="245">
        <v>355000</v>
      </c>
      <c r="I27" s="245">
        <v>324826.21000000002</v>
      </c>
      <c r="J27" s="245">
        <v>355000</v>
      </c>
      <c r="K27" s="245">
        <v>324826.21000000002</v>
      </c>
      <c r="L27" s="245">
        <v>500000</v>
      </c>
      <c r="M27" s="245">
        <v>0</v>
      </c>
    </row>
    <row r="28" spans="7:13">
      <c r="G28" s="244" t="s">
        <v>224</v>
      </c>
      <c r="H28" s="245">
        <v>0</v>
      </c>
      <c r="I28" s="245">
        <v>0</v>
      </c>
      <c r="J28" s="245">
        <v>0</v>
      </c>
      <c r="K28" s="245">
        <v>0</v>
      </c>
      <c r="L28" s="245">
        <v>750000</v>
      </c>
      <c r="M28" s="245">
        <v>0</v>
      </c>
    </row>
    <row r="29" spans="7:13">
      <c r="G29" s="244" t="s">
        <v>265</v>
      </c>
      <c r="H29" s="245">
        <v>700000</v>
      </c>
      <c r="I29" s="245">
        <v>781413.92999999993</v>
      </c>
      <c r="J29" s="245">
        <v>700000</v>
      </c>
      <c r="K29" s="245">
        <v>781413.92999999993</v>
      </c>
      <c r="L29" s="245">
        <v>350000</v>
      </c>
      <c r="M29" s="245">
        <v>0</v>
      </c>
    </row>
    <row r="30" spans="7:13">
      <c r="G30" s="244" t="s">
        <v>268</v>
      </c>
      <c r="H30" s="245">
        <v>300000</v>
      </c>
      <c r="I30" s="245">
        <v>494878.61999999994</v>
      </c>
      <c r="J30" s="245">
        <v>300000</v>
      </c>
      <c r="K30" s="245">
        <v>494878.61999999994</v>
      </c>
      <c r="L30" s="245">
        <v>150000</v>
      </c>
      <c r="M30" s="245">
        <v>0</v>
      </c>
    </row>
    <row r="31" spans="7:13">
      <c r="G31" s="244" t="s">
        <v>259</v>
      </c>
      <c r="H31" s="245">
        <v>267000</v>
      </c>
      <c r="I31" s="245">
        <v>284714.77</v>
      </c>
      <c r="J31" s="245">
        <v>267000</v>
      </c>
      <c r="K31" s="245">
        <v>284714.77</v>
      </c>
      <c r="L31" s="245">
        <v>400000</v>
      </c>
      <c r="M31" s="245">
        <v>0</v>
      </c>
    </row>
    <row r="32" spans="7:13">
      <c r="G32" s="244" t="s">
        <v>262</v>
      </c>
      <c r="H32" s="245">
        <v>507888.1</v>
      </c>
      <c r="I32" s="245">
        <v>532404.38</v>
      </c>
      <c r="J32" s="245">
        <v>507888.1</v>
      </c>
      <c r="K32" s="245">
        <v>532404.38</v>
      </c>
      <c r="L32" s="245">
        <v>315000</v>
      </c>
      <c r="M32" s="245">
        <v>0</v>
      </c>
    </row>
    <row r="33" spans="7:13">
      <c r="G33" s="244" t="s">
        <v>263</v>
      </c>
      <c r="H33" s="245">
        <v>130000</v>
      </c>
      <c r="I33" s="245">
        <v>130000</v>
      </c>
      <c r="J33" s="245">
        <v>130000</v>
      </c>
      <c r="K33" s="245">
        <v>130000</v>
      </c>
      <c r="L33" s="245">
        <v>100000</v>
      </c>
      <c r="M33" s="245">
        <v>0</v>
      </c>
    </row>
    <row r="34" spans="7:13">
      <c r="G34" s="244" t="s">
        <v>280</v>
      </c>
      <c r="H34" s="246">
        <f t="shared" ref="H34:K34" si="0">SUM(H25:H33)</f>
        <v>2884888.1</v>
      </c>
      <c r="I34" s="246">
        <f t="shared" si="0"/>
        <v>3227397.63</v>
      </c>
      <c r="J34" s="246">
        <f t="shared" si="0"/>
        <v>2884888.1</v>
      </c>
      <c r="K34" s="246">
        <f t="shared" si="0"/>
        <v>3227397.63</v>
      </c>
      <c r="L34" s="246">
        <f>SUM(L25:L33)</f>
        <v>3420000</v>
      </c>
      <c r="M34" s="246">
        <f>SUM(M25:M33)</f>
        <v>0</v>
      </c>
    </row>
    <row r="35" spans="7:13">
      <c r="L35" s="243"/>
      <c r="M35" s="243"/>
    </row>
    <row r="36" spans="7:13">
      <c r="L36" s="243"/>
      <c r="M36" s="243"/>
    </row>
    <row r="37" spans="7:13">
      <c r="L37" s="243"/>
      <c r="M37" s="243"/>
    </row>
    <row r="38" spans="7:13">
      <c r="L38" s="243"/>
      <c r="M38" s="24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47"/>
      <c r="B1" s="331" t="s">
        <v>282</v>
      </c>
      <c r="C1" s="331"/>
      <c r="D1" s="331"/>
      <c r="E1" s="331"/>
      <c r="F1" s="331"/>
      <c r="G1" s="332"/>
    </row>
    <row r="2" spans="1:7">
      <c r="A2" s="248"/>
      <c r="B2" s="333"/>
      <c r="C2" s="333"/>
      <c r="D2" s="333"/>
      <c r="E2" s="333"/>
      <c r="F2" s="333"/>
      <c r="G2" s="334"/>
    </row>
    <row r="3" spans="1:7" ht="42.75" customHeight="1">
      <c r="A3" s="248"/>
      <c r="B3" s="335"/>
      <c r="C3" s="335"/>
      <c r="D3" s="335"/>
      <c r="E3" s="335"/>
      <c r="F3" s="335"/>
      <c r="G3" s="336"/>
    </row>
    <row r="4" spans="1:7" ht="19.8">
      <c r="A4" s="329" t="s">
        <v>234</v>
      </c>
      <c r="B4" s="236" t="s">
        <v>241</v>
      </c>
      <c r="C4" s="236" t="s">
        <v>242</v>
      </c>
      <c r="D4" s="236" t="s">
        <v>241</v>
      </c>
      <c r="E4" s="236" t="s">
        <v>242</v>
      </c>
      <c r="F4" s="236" t="s">
        <v>241</v>
      </c>
      <c r="G4" s="249" t="s">
        <v>242</v>
      </c>
    </row>
    <row r="5" spans="1:7" ht="19.8">
      <c r="A5" s="330"/>
      <c r="B5" s="327">
        <v>45505</v>
      </c>
      <c r="C5" s="326"/>
      <c r="D5" s="327">
        <v>45536</v>
      </c>
      <c r="E5" s="326"/>
      <c r="F5" s="327">
        <v>45566</v>
      </c>
      <c r="G5" s="328"/>
    </row>
    <row r="6" spans="1:7">
      <c r="A6" s="250" t="s">
        <v>210</v>
      </c>
      <c r="B6" s="245">
        <v>275000</v>
      </c>
      <c r="C6" s="245">
        <v>283123.64</v>
      </c>
      <c r="D6" s="245">
        <v>275000</v>
      </c>
      <c r="E6" s="245">
        <v>283123.64</v>
      </c>
      <c r="F6" s="245">
        <v>250000</v>
      </c>
      <c r="G6" s="251">
        <v>0</v>
      </c>
    </row>
    <row r="7" spans="1:7">
      <c r="A7" s="250" t="s">
        <v>209</v>
      </c>
      <c r="B7" s="245">
        <v>350000</v>
      </c>
      <c r="C7" s="245">
        <v>396036.08</v>
      </c>
      <c r="D7" s="245">
        <v>350000</v>
      </c>
      <c r="E7" s="245">
        <v>396036.08</v>
      </c>
      <c r="F7" s="245">
        <v>605000</v>
      </c>
      <c r="G7" s="251">
        <v>0</v>
      </c>
    </row>
    <row r="8" spans="1:7">
      <c r="A8" s="250" t="s">
        <v>226</v>
      </c>
      <c r="B8" s="245">
        <v>355000</v>
      </c>
      <c r="C8" s="245">
        <v>324826.21000000002</v>
      </c>
      <c r="D8" s="245">
        <v>355000</v>
      </c>
      <c r="E8" s="245">
        <v>324826.21000000002</v>
      </c>
      <c r="F8" s="245">
        <v>500000</v>
      </c>
      <c r="G8" s="251">
        <v>0</v>
      </c>
    </row>
    <row r="9" spans="1:7">
      <c r="A9" s="250" t="s">
        <v>224</v>
      </c>
      <c r="B9" s="245">
        <v>0</v>
      </c>
      <c r="C9" s="245">
        <v>0</v>
      </c>
      <c r="D9" s="245">
        <v>0</v>
      </c>
      <c r="E9" s="245">
        <v>0</v>
      </c>
      <c r="F9" s="245">
        <v>750000</v>
      </c>
      <c r="G9" s="251">
        <v>0</v>
      </c>
    </row>
    <row r="10" spans="1:7">
      <c r="A10" s="250" t="s">
        <v>265</v>
      </c>
      <c r="B10" s="245">
        <v>700000</v>
      </c>
      <c r="C10" s="245">
        <v>781413.92999999993</v>
      </c>
      <c r="D10" s="245">
        <v>700000</v>
      </c>
      <c r="E10" s="245">
        <v>781413.92999999993</v>
      </c>
      <c r="F10" s="245">
        <v>350000</v>
      </c>
      <c r="G10" s="251">
        <v>0</v>
      </c>
    </row>
    <row r="11" spans="1:7">
      <c r="A11" s="250" t="s">
        <v>268</v>
      </c>
      <c r="B11" s="245">
        <v>300000</v>
      </c>
      <c r="C11" s="245">
        <v>494878.61999999994</v>
      </c>
      <c r="D11" s="245">
        <v>300000</v>
      </c>
      <c r="E11" s="245">
        <v>494878.61999999994</v>
      </c>
      <c r="F11" s="245">
        <v>150000</v>
      </c>
      <c r="G11" s="251">
        <v>0</v>
      </c>
    </row>
    <row r="12" spans="1:7">
      <c r="A12" s="250" t="s">
        <v>259</v>
      </c>
      <c r="B12" s="245">
        <v>267000</v>
      </c>
      <c r="C12" s="245">
        <v>284714.77</v>
      </c>
      <c r="D12" s="245">
        <v>267000</v>
      </c>
      <c r="E12" s="245">
        <v>284714.77</v>
      </c>
      <c r="F12" s="245">
        <v>400000</v>
      </c>
      <c r="G12" s="251">
        <v>0</v>
      </c>
    </row>
    <row r="13" spans="1:7">
      <c r="A13" s="250" t="s">
        <v>262</v>
      </c>
      <c r="B13" s="245">
        <v>507888.1</v>
      </c>
      <c r="C13" s="245">
        <v>532404.38</v>
      </c>
      <c r="D13" s="245">
        <v>507888.1</v>
      </c>
      <c r="E13" s="245">
        <v>532404.38</v>
      </c>
      <c r="F13" s="245">
        <v>315000</v>
      </c>
      <c r="G13" s="251">
        <v>0</v>
      </c>
    </row>
    <row r="14" spans="1:7">
      <c r="A14" s="250" t="s">
        <v>263</v>
      </c>
      <c r="B14" s="245">
        <v>130000</v>
      </c>
      <c r="C14" s="245">
        <v>130000</v>
      </c>
      <c r="D14" s="245">
        <v>130000</v>
      </c>
      <c r="E14" s="245">
        <v>130000</v>
      </c>
      <c r="F14" s="245">
        <v>100000</v>
      </c>
      <c r="G14" s="251">
        <v>0</v>
      </c>
    </row>
    <row r="15" spans="1:7" ht="15" thickBot="1">
      <c r="A15" s="252" t="s">
        <v>280</v>
      </c>
      <c r="B15" s="253">
        <f t="shared" ref="B15:E15" si="0">SUM(B6:B14)</f>
        <v>2884888.1</v>
      </c>
      <c r="C15" s="253">
        <f t="shared" si="0"/>
        <v>3227397.63</v>
      </c>
      <c r="D15" s="253">
        <f t="shared" si="0"/>
        <v>2884888.1</v>
      </c>
      <c r="E15" s="253">
        <f t="shared" si="0"/>
        <v>3227397.63</v>
      </c>
      <c r="F15" s="253">
        <f>SUM(F6:F14)</f>
        <v>3420000</v>
      </c>
      <c r="G15" s="254">
        <f>SUM(G6:G14)</f>
        <v>0</v>
      </c>
    </row>
    <row r="16" spans="1:7">
      <c r="F16" s="243"/>
      <c r="G16" s="243"/>
    </row>
    <row r="17" spans="6:7">
      <c r="F17" s="243"/>
      <c r="G17" s="243"/>
    </row>
    <row r="18" spans="6:7">
      <c r="F18" s="243"/>
      <c r="G18" s="243"/>
    </row>
    <row r="19" spans="6:7">
      <c r="F19" s="243"/>
      <c r="G19" s="24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2025-08-07T11:46:35Z</dcterms:modified>
</cp:coreProperties>
</file>