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anto\Downloads\Analise-de-Avaliacoes-de-Consumidores\"/>
    </mc:Choice>
  </mc:AlternateContent>
  <xr:revisionPtr revIDLastSave="0" documentId="8_{19436350-FEC6-48FE-BFDA-AEAE3ACB7A1A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Tabela de Filmes" sheetId="1" r:id="rId1"/>
    <sheet name="Dados Brutos" sheetId="2" r:id="rId2"/>
    <sheet name="GêneroVendas" sheetId="7" r:id="rId3"/>
    <sheet name="Análise" sheetId="3" r:id="rId4"/>
    <sheet name="Diretor Genero" sheetId="9" r:id="rId5"/>
  </sheets>
  <definedNames>
    <definedName name="_xlcn.WorksheetConnection_analise_de_filmes.xlsxDadosBrutos1" hidden="1">DadosBrutos[]</definedName>
    <definedName name="_xlcn.WorksheetConnection_Análisedefilmes.xlsxDadosBrutos" hidden="1">DadosBrutos[]</definedName>
  </definedNames>
  <calcPr calcId="191029"/>
  <pivotCaches>
    <pivotCache cacheId="296" r:id="rId6"/>
    <pivotCache cacheId="299" r:id="rId7"/>
  </pivotCaches>
  <fileRecoveryPr repairLoad="1"/>
  <extLst>
    <ext xmlns:x15="http://schemas.microsoft.com/office/spreadsheetml/2010/11/main" uri="{FCE2AD5D-F65C-4FA6-A056-5C36A1767C68}">
      <x15:dataModel>
        <x15:modelTables>
          <x15:modelTable id="DadosBrutos" name="DadosBrutos" connection="WorksheetConnection_analise_de_filmes.xlsx!DadosBruto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G3" i="2"/>
  <c r="G4" i="2"/>
  <c r="K4" i="2" s="1"/>
  <c r="G5" i="2"/>
  <c r="K5" i="2" s="1"/>
  <c r="G6" i="2"/>
  <c r="K6" i="2" s="1"/>
  <c r="G7" i="2"/>
  <c r="K7" i="2" s="1"/>
  <c r="G8" i="2"/>
  <c r="K8" i="2" s="1"/>
  <c r="G9" i="2"/>
  <c r="G10" i="2"/>
  <c r="G11" i="2"/>
  <c r="G12" i="2"/>
  <c r="G13" i="2"/>
  <c r="K13" i="2" s="1"/>
  <c r="G14" i="2"/>
  <c r="K14" i="2" s="1"/>
  <c r="G15" i="2"/>
  <c r="K15" i="2" s="1"/>
  <c r="G16" i="2"/>
  <c r="K16" i="2" s="1"/>
  <c r="G17" i="2"/>
  <c r="K17" i="2" s="1"/>
  <c r="G18" i="2"/>
  <c r="G19" i="2"/>
  <c r="G20" i="2"/>
  <c r="K20" i="2" s="1"/>
  <c r="G21" i="2"/>
  <c r="K21" i="2" s="1"/>
  <c r="G22" i="2"/>
  <c r="K22" i="2" s="1"/>
  <c r="G23" i="2"/>
  <c r="K23" i="2" s="1"/>
  <c r="G24" i="2"/>
  <c r="K24" i="2" s="1"/>
  <c r="G25" i="2"/>
  <c r="K25" i="2" s="1"/>
  <c r="G26" i="2"/>
  <c r="G27" i="2"/>
  <c r="G28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I2" i="2"/>
  <c r="M2" i="2" s="1"/>
  <c r="N2" i="2" s="1"/>
  <c r="I3" i="2"/>
  <c r="M3" i="2" s="1"/>
  <c r="N3" i="2" s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M19" i="2" s="1"/>
  <c r="N19" i="2" s="1"/>
  <c r="I20" i="2"/>
  <c r="I21" i="2"/>
  <c r="I22" i="2"/>
  <c r="I23" i="2"/>
  <c r="I24" i="2"/>
  <c r="I25" i="2"/>
  <c r="I26" i="2"/>
  <c r="I27" i="2"/>
  <c r="I28" i="2"/>
  <c r="H2" i="2"/>
  <c r="L2" i="2" s="1"/>
  <c r="H3" i="2"/>
  <c r="H4" i="2"/>
  <c r="H5" i="2"/>
  <c r="H6" i="2"/>
  <c r="H7" i="2"/>
  <c r="L7" i="2" s="1"/>
  <c r="H8" i="2"/>
  <c r="H9" i="2"/>
  <c r="L9" i="2" s="1"/>
  <c r="H10" i="2"/>
  <c r="H11" i="2"/>
  <c r="L11" i="2" s="1"/>
  <c r="H12" i="2"/>
  <c r="H13" i="2"/>
  <c r="L13" i="2" s="1"/>
  <c r="H14" i="2"/>
  <c r="L14" i="2" s="1"/>
  <c r="H15" i="2"/>
  <c r="L15" i="2" s="1"/>
  <c r="H16" i="2"/>
  <c r="L16" i="2" s="1"/>
  <c r="H17" i="2"/>
  <c r="L17" i="2" s="1"/>
  <c r="H18" i="2"/>
  <c r="H19" i="2"/>
  <c r="H20" i="2"/>
  <c r="L20" i="2" s="1"/>
  <c r="H21" i="2"/>
  <c r="L21" i="2" s="1"/>
  <c r="H22" i="2"/>
  <c r="L22" i="2" s="1"/>
  <c r="H23" i="2"/>
  <c r="L23" i="2" s="1"/>
  <c r="H24" i="2"/>
  <c r="L24" i="2" s="1"/>
  <c r="H25" i="2"/>
  <c r="L25" i="2" s="1"/>
  <c r="H26" i="2"/>
  <c r="L26" i="2" s="1"/>
  <c r="H27" i="2"/>
  <c r="L27" i="2" s="1"/>
  <c r="H28" i="2"/>
  <c r="L28" i="2" s="1"/>
  <c r="K2" i="2"/>
  <c r="K10" i="2"/>
  <c r="K11" i="2"/>
  <c r="K12" i="2"/>
  <c r="K26" i="2"/>
  <c r="K27" i="2"/>
  <c r="K28" i="2"/>
  <c r="F2" i="2"/>
  <c r="Q2" i="2" s="1"/>
  <c r="F3" i="2"/>
  <c r="Q3" i="2" s="1"/>
  <c r="F4" i="2"/>
  <c r="Q4" i="2" s="1"/>
  <c r="F5" i="2"/>
  <c r="Q5" i="2" s="1"/>
  <c r="F6" i="2"/>
  <c r="Q6" i="2" s="1"/>
  <c r="F7" i="2"/>
  <c r="Q7" i="2" s="1"/>
  <c r="F8" i="2"/>
  <c r="Q8" i="2" s="1"/>
  <c r="F9" i="2"/>
  <c r="Q9" i="2" s="1"/>
  <c r="F10" i="2"/>
  <c r="Q10" i="2" s="1"/>
  <c r="F11" i="2"/>
  <c r="Q11" i="2" s="1"/>
  <c r="F12" i="2"/>
  <c r="Q12" i="2" s="1"/>
  <c r="F13" i="2"/>
  <c r="Q13" i="2" s="1"/>
  <c r="F14" i="2"/>
  <c r="Q14" i="2" s="1"/>
  <c r="F15" i="2"/>
  <c r="Q15" i="2" s="1"/>
  <c r="F16" i="2"/>
  <c r="Q16" i="2" s="1"/>
  <c r="F17" i="2"/>
  <c r="Q17" i="2" s="1"/>
  <c r="F18" i="2"/>
  <c r="Q18" i="2" s="1"/>
  <c r="F19" i="2"/>
  <c r="Q19" i="2" s="1"/>
  <c r="F20" i="2"/>
  <c r="Q20" i="2" s="1"/>
  <c r="F21" i="2"/>
  <c r="Q21" i="2" s="1"/>
  <c r="F22" i="2"/>
  <c r="Q22" i="2" s="1"/>
  <c r="F23" i="2"/>
  <c r="Q23" i="2" s="1"/>
  <c r="F24" i="2"/>
  <c r="Q24" i="2" s="1"/>
  <c r="F25" i="2"/>
  <c r="Q25" i="2" s="1"/>
  <c r="F26" i="2"/>
  <c r="Q26" i="2" s="1"/>
  <c r="F27" i="2"/>
  <c r="Q27" i="2" s="1"/>
  <c r="F28" i="2"/>
  <c r="Q28" i="2" s="1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K18" i="2"/>
  <c r="K19" i="2"/>
  <c r="L18" i="2"/>
  <c r="L10" i="2"/>
  <c r="M13" i="2" l="1"/>
  <c r="N13" i="2" s="1"/>
  <c r="O18" i="2"/>
  <c r="P18" i="2" s="1"/>
  <c r="O10" i="2"/>
  <c r="P10" i="2" s="1"/>
  <c r="O19" i="2"/>
  <c r="P19" i="2" s="1"/>
  <c r="M20" i="2"/>
  <c r="N20" i="2" s="1"/>
  <c r="M12" i="2"/>
  <c r="N12" i="2" s="1"/>
  <c r="O20" i="2"/>
  <c r="P20" i="2" s="1"/>
  <c r="O21" i="2"/>
  <c r="P21" i="2" s="1"/>
  <c r="O5" i="2"/>
  <c r="P5" i="2" s="1"/>
  <c r="L19" i="2"/>
  <c r="O2" i="2"/>
  <c r="P2" i="2" s="1"/>
  <c r="M6" i="2"/>
  <c r="N6" i="2" s="1"/>
  <c r="O15" i="2"/>
  <c r="P15" i="2" s="1"/>
  <c r="O7" i="2"/>
  <c r="P7" i="2" s="1"/>
  <c r="M7" i="2"/>
  <c r="N7" i="2" s="1"/>
  <c r="O12" i="2"/>
  <c r="P12" i="2" s="1"/>
  <c r="M21" i="2"/>
  <c r="N21" i="2" s="1"/>
  <c r="M5" i="2"/>
  <c r="N5" i="2" s="1"/>
  <c r="O22" i="2"/>
  <c r="P22" i="2" s="1"/>
  <c r="O14" i="2"/>
  <c r="P14" i="2" s="1"/>
  <c r="D4" i="3"/>
  <c r="B4" i="3" s="1"/>
  <c r="E4" i="3" s="1"/>
  <c r="O4" i="2"/>
  <c r="P4" i="2" s="1"/>
  <c r="L4" i="2"/>
  <c r="K3" i="2"/>
  <c r="D5" i="3"/>
  <c r="B5" i="3" s="1"/>
  <c r="F5" i="3" s="1"/>
  <c r="O3" i="2"/>
  <c r="P3" i="2" s="1"/>
  <c r="M28" i="2"/>
  <c r="N28" i="2" s="1"/>
  <c r="M4" i="2"/>
  <c r="N4" i="2" s="1"/>
  <c r="O13" i="2"/>
  <c r="P13" i="2" s="1"/>
  <c r="M10" i="2"/>
  <c r="N10" i="2" s="1"/>
  <c r="M27" i="2"/>
  <c r="N27" i="2" s="1"/>
  <c r="M11" i="2"/>
  <c r="N11" i="2" s="1"/>
  <c r="O28" i="2"/>
  <c r="P28" i="2" s="1"/>
  <c r="M26" i="2"/>
  <c r="N26" i="2" s="1"/>
  <c r="O11" i="2"/>
  <c r="P11" i="2" s="1"/>
  <c r="L5" i="2"/>
  <c r="O26" i="2"/>
  <c r="P26" i="2" s="1"/>
  <c r="L12" i="2"/>
  <c r="O23" i="2"/>
  <c r="P23" i="2" s="1"/>
  <c r="M18" i="2"/>
  <c r="N18" i="2" s="1"/>
  <c r="O27" i="2"/>
  <c r="P27" i="2" s="1"/>
  <c r="M22" i="2"/>
  <c r="N22" i="2" s="1"/>
  <c r="M14" i="2"/>
  <c r="N14" i="2" s="1"/>
  <c r="M8" i="2"/>
  <c r="N8" i="2" s="1"/>
  <c r="O6" i="2"/>
  <c r="P6" i="2" s="1"/>
  <c r="O9" i="2"/>
  <c r="P9" i="2" s="1"/>
  <c r="O8" i="2"/>
  <c r="P8" i="2" s="1"/>
  <c r="M9" i="2"/>
  <c r="N9" i="2" s="1"/>
  <c r="L8" i="2"/>
  <c r="L6" i="2"/>
  <c r="O25" i="2"/>
  <c r="P25" i="2" s="1"/>
  <c r="O17" i="2"/>
  <c r="P17" i="2" s="1"/>
  <c r="L3" i="2"/>
  <c r="O24" i="2"/>
  <c r="P24" i="2" s="1"/>
  <c r="O16" i="2"/>
  <c r="P16" i="2" s="1"/>
  <c r="K9" i="2"/>
  <c r="M25" i="2"/>
  <c r="N25" i="2" s="1"/>
  <c r="M17" i="2"/>
  <c r="N17" i="2" s="1"/>
  <c r="M23" i="2"/>
  <c r="N23" i="2" s="1"/>
  <c r="M15" i="2"/>
  <c r="N15" i="2" s="1"/>
  <c r="M24" i="2"/>
  <c r="N24" i="2" s="1"/>
  <c r="M16" i="2"/>
  <c r="N16" i="2" s="1"/>
  <c r="F2" i="3"/>
  <c r="B2" i="3" s="1"/>
  <c r="E2" i="3" s="1"/>
  <c r="F3" i="3" a="1"/>
  <c r="F3" i="3" s="1"/>
  <c r="B3" i="3" s="1"/>
  <c r="F4" i="3" l="1"/>
  <c r="C4" i="3"/>
  <c r="C5" i="3"/>
  <c r="E5" i="3"/>
  <c r="C2" i="3"/>
  <c r="D2" i="3"/>
  <c r="D3" i="3"/>
  <c r="C3" i="3"/>
  <c r="E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C7EC9E-6561-49A6-8F4B-10316CFAFBF8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D7DA0875-B535-43F4-A7F9-0DFFF54A3AE6}" interval="1" name="WorksheetConnection_analise_de_filmes.xlsx!DadosBrutos" type="102" refreshedVersion="8" minRefreshableVersion="5" saveData="1">
    <extLst>
      <ext xmlns:x15="http://schemas.microsoft.com/office/spreadsheetml/2010/11/main" uri="{DE250136-89BD-433C-8126-D09CA5730AF9}">
        <x15:connection id="DadosBrutos">
          <x15:rangePr sourceName="_xlcn.WorksheetConnection_analise_de_filmes.xlsxDadosBrutos1"/>
        </x15:connection>
      </ext>
    </extLst>
  </connection>
</connections>
</file>

<file path=xl/sharedStrings.xml><?xml version="1.0" encoding="utf-8"?>
<sst xmlns="http://schemas.openxmlformats.org/spreadsheetml/2006/main" count="317" uniqueCount="233">
  <si>
    <t>Filme</t>
  </si>
  <si>
    <t>Data de Lançamento</t>
  </si>
  <si>
    <t>Gênero</t>
  </si>
  <si>
    <t>Trope</t>
  </si>
  <si>
    <t>Diretor</t>
  </si>
  <si>
    <t>Bilheteria(Gross USD)</t>
  </si>
  <si>
    <t>Consensu dos Críticos</t>
  </si>
  <si>
    <t>Consensu da Audiência</t>
  </si>
  <si>
    <t>Reviews dos Críticos</t>
  </si>
  <si>
    <t>Reviews da Audiência</t>
  </si>
  <si>
    <t>Inside Out 2</t>
  </si>
  <si>
    <t>Jun 14, 2024, Wide</t>
  </si>
  <si>
    <t>Animation</t>
  </si>
  <si>
    <t xml:space="preserve">Final Girl </t>
  </si>
  <si>
    <t>Kelsey Mann</t>
  </si>
  <si>
    <t>$356.4M</t>
  </si>
  <si>
    <t>90%</t>
  </si>
  <si>
    <t>96%</t>
  </si>
  <si>
    <t>260</t>
  </si>
  <si>
    <t>2500</t>
  </si>
  <si>
    <t>The Bikeriders</t>
  </si>
  <si>
    <t>Jun 21, 2024, Wide</t>
  </si>
  <si>
    <t>Drama</t>
  </si>
  <si>
    <t xml:space="preserve">Coming-of-age </t>
  </si>
  <si>
    <t>Jeff Nichols</t>
  </si>
  <si>
    <t>$9.7M</t>
  </si>
  <si>
    <t>81%</t>
  </si>
  <si>
    <t>74%</t>
  </si>
  <si>
    <t>186</t>
  </si>
  <si>
    <t>500</t>
  </si>
  <si>
    <t>Thelma</t>
  </si>
  <si>
    <t>Action</t>
  </si>
  <si>
    <t>Rebel Without a Cause</t>
  </si>
  <si>
    <t>Josh Margolin</t>
  </si>
  <si>
    <t>$2.3M</t>
  </si>
  <si>
    <t>99%</t>
  </si>
  <si>
    <t>82%</t>
  </si>
  <si>
    <t>128</t>
  </si>
  <si>
    <t>100</t>
  </si>
  <si>
    <t>IF</t>
  </si>
  <si>
    <t>May 17, 2024, Wide</t>
  </si>
  <si>
    <t>Fantasy</t>
  </si>
  <si>
    <t xml:space="preserve">Elderly action hero </t>
  </si>
  <si>
    <t>John Krasinski</t>
  </si>
  <si>
    <t>$106.6M</t>
  </si>
  <si>
    <t>49%</t>
  </si>
  <si>
    <t>88%</t>
  </si>
  <si>
    <t>193</t>
  </si>
  <si>
    <t>1000</t>
  </si>
  <si>
    <t>Kinds of Kindness</t>
  </si>
  <si>
    <t>Jun 21, 2024, Limited</t>
  </si>
  <si>
    <t>The  is "rediscovering one's inner child".</t>
  </si>
  <si>
    <t>Yorgos Lanthimos</t>
  </si>
  <si>
    <t>$377.3K</t>
  </si>
  <si>
    <t>75%</t>
  </si>
  <si>
    <t>62%</t>
  </si>
  <si>
    <t>126</t>
  </si>
  <si>
    <t>50</t>
  </si>
  <si>
    <t>The Fall Guy</t>
  </si>
  <si>
    <t>May 3, 2024, Wide</t>
  </si>
  <si>
    <t xml:space="preserve">The Anti-Hero </t>
  </si>
  <si>
    <t>David Leitch</t>
  </si>
  <si>
    <t>$90.0M</t>
  </si>
  <si>
    <t>86%</t>
  </si>
  <si>
    <t>346</t>
  </si>
  <si>
    <t>Horizon: An American Saga - Chapter 1</t>
  </si>
  <si>
    <t>Jun 28, 2024, Wide</t>
  </si>
  <si>
    <t>Action Hero</t>
  </si>
  <si>
    <t>Kevin Costner</t>
  </si>
  <si>
    <t>47%</t>
  </si>
  <si>
    <t>38</t>
  </si>
  <si>
    <t>Bad Boys: Ride or Die</t>
  </si>
  <si>
    <t>Jun 7, 2024, Wide</t>
  </si>
  <si>
    <t>Comedy</t>
  </si>
  <si>
    <t xml:space="preserve">"The Civil War Western" </t>
  </si>
  <si>
    <t>Bilall Fallah</t>
  </si>
  <si>
    <t>$147.0M</t>
  </si>
  <si>
    <t>64%</t>
  </si>
  <si>
    <t>97%</t>
  </si>
  <si>
    <t>222</t>
  </si>
  <si>
    <t>I Saw the TV Glow</t>
  </si>
  <si>
    <t>Mystery &amp; Thriller</t>
  </si>
  <si>
    <t xml:space="preserve">Buddy Cop </t>
  </si>
  <si>
    <t>Jane Schoenbrun</t>
  </si>
  <si>
    <t>$4.5M</t>
  </si>
  <si>
    <t>85%</t>
  </si>
  <si>
    <t>71%</t>
  </si>
  <si>
    <t>176</t>
  </si>
  <si>
    <t>Furiosa: A Mad Max Saga</t>
  </si>
  <si>
    <t>May 24, 2024, Wide</t>
  </si>
  <si>
    <t>Sci-Fi</t>
  </si>
  <si>
    <t xml:space="preserve">Trapped in TV Land </t>
  </si>
  <si>
    <t>George Miller</t>
  </si>
  <si>
    <t>$66.1M</t>
  </si>
  <si>
    <t>89%</t>
  </si>
  <si>
    <t>379</t>
  </si>
  <si>
    <t>The Exorcism</t>
  </si>
  <si>
    <t>Hero's Journey</t>
  </si>
  <si>
    <t>Joshua John Miller</t>
  </si>
  <si>
    <t>$2.5M</t>
  </si>
  <si>
    <t>28%</t>
  </si>
  <si>
    <t>36%</t>
  </si>
  <si>
    <t>89</t>
  </si>
  <si>
    <t>A Quiet Place: Day One</t>
  </si>
  <si>
    <t xml:space="preserve">"Metafiction" or "metatextual riff" </t>
  </si>
  <si>
    <t>Michael Sarnoski</t>
  </si>
  <si>
    <t>The Watchers</t>
  </si>
  <si>
    <t xml:space="preserve">Apocalyptic/post-apocalyptic </t>
  </si>
  <si>
    <t>Ishana Shyamalan</t>
  </si>
  <si>
    <t>$17.7M</t>
  </si>
  <si>
    <t>31%</t>
  </si>
  <si>
    <t>52%</t>
  </si>
  <si>
    <t>157</t>
  </si>
  <si>
    <t>250</t>
  </si>
  <si>
    <t>Kingdom of the Planet of the Apes</t>
  </si>
  <si>
    <t>May 10, 2024, Wide</t>
  </si>
  <si>
    <t>Adventure</t>
  </si>
  <si>
    <t>Survival horror</t>
  </si>
  <si>
    <t>Wes Ball</t>
  </si>
  <si>
    <t>$164.6M</t>
  </si>
  <si>
    <t>80%</t>
  </si>
  <si>
    <t>78%</t>
  </si>
  <si>
    <t>301</t>
  </si>
  <si>
    <t>I Used to be Funny</t>
  </si>
  <si>
    <t>Jun 7, 2024, Limited</t>
  </si>
  <si>
    <t>Rise of the Planet of the Apes</t>
  </si>
  <si>
    <t>Ally Pankiw</t>
  </si>
  <si>
    <t>$142.4K</t>
  </si>
  <si>
    <t>83%</t>
  </si>
  <si>
    <t>47</t>
  </si>
  <si>
    <t>The Beast</t>
  </si>
  <si>
    <t>Apr 5, 2024, Limited</t>
  </si>
  <si>
    <t>Dramedy</t>
  </si>
  <si>
    <t>Bertrand Bonello</t>
  </si>
  <si>
    <t>$410.8K</t>
  </si>
  <si>
    <t>124</t>
  </si>
  <si>
    <t>Ghostlight</t>
  </si>
  <si>
    <t>Jun 14, 2024, Limited</t>
  </si>
  <si>
    <t>Reincarnation .</t>
  </si>
  <si>
    <t>Alex Thompson</t>
  </si>
  <si>
    <t>$314.3K</t>
  </si>
  <si>
    <t>100%</t>
  </si>
  <si>
    <t>70</t>
  </si>
  <si>
    <t>The Garfield Movie</t>
  </si>
  <si>
    <t>Mark Dindal</t>
  </si>
  <si>
    <t>$85.3M</t>
  </si>
  <si>
    <t>129</t>
  </si>
  <si>
    <t>X</t>
  </si>
  <si>
    <t>Mar 18, 2022, Wide</t>
  </si>
  <si>
    <t>Fish out of water.</t>
  </si>
  <si>
    <t>Ti West</t>
  </si>
  <si>
    <t>$11.6M</t>
  </si>
  <si>
    <t>94%</t>
  </si>
  <si>
    <t>76%</t>
  </si>
  <si>
    <t>227</t>
  </si>
  <si>
    <t>Challengers</t>
  </si>
  <si>
    <t>Apr 26, 2024, Wide</t>
  </si>
  <si>
    <t xml:space="preserve">"Survival horror" </t>
  </si>
  <si>
    <t>Luca Guadagnino</t>
  </si>
  <si>
    <t>$50.1M</t>
  </si>
  <si>
    <t>73%</t>
  </si>
  <si>
    <t>337</t>
  </si>
  <si>
    <t>Tuesday</t>
  </si>
  <si>
    <t>Love Triangle</t>
  </si>
  <si>
    <t>Daina Oniunas-Pusic</t>
  </si>
  <si>
    <t>$620.0K</t>
  </si>
  <si>
    <t>84</t>
  </si>
  <si>
    <t>Daddio</t>
  </si>
  <si>
    <t>Jun 28, 2024, Limited</t>
  </si>
  <si>
    <t>Magical Realism</t>
  </si>
  <si>
    <t>Christy Hall</t>
  </si>
  <si>
    <t>28</t>
  </si>
  <si>
    <t>The Strangers: Chapter 1</t>
  </si>
  <si>
    <t xml:space="preserve">"Meet Cute" </t>
  </si>
  <si>
    <t>Renny Harlin</t>
  </si>
  <si>
    <t>$34.8M</t>
  </si>
  <si>
    <t>22%</t>
  </si>
  <si>
    <t>44%</t>
  </si>
  <si>
    <t>96</t>
  </si>
  <si>
    <t>In A Violent Nature</t>
  </si>
  <si>
    <t>May 31, 2024, Wide</t>
  </si>
  <si>
    <t>Home invasion</t>
  </si>
  <si>
    <t>Chris Nash</t>
  </si>
  <si>
    <t>$4.2M</t>
  </si>
  <si>
    <t>137</t>
  </si>
  <si>
    <t>Fancy Dance</t>
  </si>
  <si>
    <t>Undead Revenge</t>
  </si>
  <si>
    <t>Erica Tremblay</t>
  </si>
  <si>
    <t>64</t>
  </si>
  <si>
    <t>Rite Here Rite Now</t>
  </si>
  <si>
    <t>Jun 20, 2024, Limited</t>
  </si>
  <si>
    <t>Music</t>
  </si>
  <si>
    <t xml:space="preserve">Missing person </t>
  </si>
  <si>
    <t>Tobias Forge</t>
  </si>
  <si>
    <t>Tarot</t>
  </si>
  <si>
    <t>Concert Film</t>
  </si>
  <si>
    <t>Anna Halberg</t>
  </si>
  <si>
    <t>$18.6M</t>
  </si>
  <si>
    <t>19%</t>
  </si>
  <si>
    <t>59%</t>
  </si>
  <si>
    <t>54</t>
  </si>
  <si>
    <t>"The Rule of Three"</t>
  </si>
  <si>
    <t>Nota críticos</t>
  </si>
  <si>
    <t>Nota público</t>
  </si>
  <si>
    <t>Quant. avaliações positivas crit.</t>
  </si>
  <si>
    <t>Quant. avaliações negativas crit.</t>
  </si>
  <si>
    <t>Quant. avaliações positivas público</t>
  </si>
  <si>
    <t>Quant. avaliações negativas públicos</t>
  </si>
  <si>
    <t>Valores bilheteria (Milhões)</t>
  </si>
  <si>
    <t>Análises:</t>
  </si>
  <si>
    <t>Nome do filme</t>
  </si>
  <si>
    <t>trope</t>
  </si>
  <si>
    <t>Avaliação do público</t>
  </si>
  <si>
    <t>Avaliação dos críticos</t>
  </si>
  <si>
    <t>Valor Arrecadado (Mil.)</t>
  </si>
  <si>
    <t>Maior bilheteria</t>
  </si>
  <si>
    <t>Menor bilheteria</t>
  </si>
  <si>
    <t>Melhor avaliação público</t>
  </si>
  <si>
    <t>Pior avaliação do público</t>
  </si>
  <si>
    <t>Soma de Valores bilheteria (Milhões)</t>
  </si>
  <si>
    <t>Total Geral</t>
  </si>
  <si>
    <t>FILMES</t>
  </si>
  <si>
    <t>LANÇAMENTO</t>
  </si>
  <si>
    <t>GÊNERO</t>
  </si>
  <si>
    <t>TROPE</t>
  </si>
  <si>
    <t>DIRETOR</t>
  </si>
  <si>
    <t>BILHETERIA</t>
  </si>
  <si>
    <t>AVALIAÇÃO DOS CRÍTICOS (%)</t>
  </si>
  <si>
    <t>AVALIAÇÃO DO PÚBLICO (%)</t>
  </si>
  <si>
    <t>QUANTIDADE DE AVALIAÇÕES CRIT.</t>
  </si>
  <si>
    <t>QUANTIDADE DE AVALIAÇÕES PÚBLICO</t>
  </si>
  <si>
    <t>Rótulos de Linha</t>
  </si>
  <si>
    <t>Contagem de DIRETOR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</si>
</sst>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13">
    <xf numFmtId="0" fontId="0" fillId="0" borderId="0" xfId="0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0" xfId="0" applyFont="1"/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9" fontId="1" fillId="0" borderId="0" xfId="1"/>
  </cellXfs>
  <cellStyles count="2">
    <cellStyle name="Normal" xfId="0" builtinId="0"/>
    <cellStyle name="Porcentagem" xfId="1" builtinId="5"/>
  </cellStyles>
  <dxfs count="26">
    <dxf>
      <numFmt numFmtId="13" formatCode="0%"/>
      <alignment horizontal="center" vertical="center"/>
    </dxf>
    <dxf>
      <numFmt numFmtId="1" formatCode="0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164" formatCode="0.0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0.0"/>
      <alignment horizontal="center" vertical="center"/>
    </dxf>
    <dxf>
      <numFmt numFmtId="1" formatCode="0"/>
      <alignment horizontal="center" vertical="center"/>
    </dxf>
    <dxf>
      <numFmt numFmtId="1" formatCode="0"/>
      <alignment horizontal="center" vertical="center"/>
    </dxf>
    <dxf>
      <numFmt numFmtId="1" formatCode="0"/>
      <alignment horizontal="center" vertical="center"/>
    </dxf>
    <dxf>
      <numFmt numFmtId="1" formatCode="0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[analise_de_filmes.xlsx]GêneroVendas!Tabela dinâmica2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GêneroVendas!$B$3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GêneroVendas!$A$4:$A$13</c:f>
              <c:strCache>
                <c:ptCount val="9"/>
                <c:pt idx="0">
                  <c:v>Action</c:v>
                </c:pt>
                <c:pt idx="1">
                  <c:v>Adventure</c:v>
                </c:pt>
                <c:pt idx="2">
                  <c:v>Animation</c:v>
                </c:pt>
                <c:pt idx="3">
                  <c:v>Comedy</c:v>
                </c:pt>
                <c:pt idx="4">
                  <c:v>Drama</c:v>
                </c:pt>
                <c:pt idx="5">
                  <c:v>Fantasy</c:v>
                </c:pt>
                <c:pt idx="6">
                  <c:v>Music</c:v>
                </c:pt>
                <c:pt idx="7">
                  <c:v>Mystery &amp; Thriller</c:v>
                </c:pt>
                <c:pt idx="8">
                  <c:v>Sci-Fi</c:v>
                </c:pt>
              </c:strCache>
            </c:strRef>
          </c:cat>
          <c:val>
            <c:numRef>
              <c:f>GêneroVendas!$B$4:$B$13</c:f>
              <c:numCache>
                <c:formatCode>General</c:formatCode>
                <c:ptCount val="9"/>
                <c:pt idx="0">
                  <c:v>2.2999999999999998</c:v>
                </c:pt>
                <c:pt idx="1">
                  <c:v>164.6</c:v>
                </c:pt>
                <c:pt idx="2">
                  <c:v>441.7</c:v>
                </c:pt>
                <c:pt idx="3">
                  <c:v>147</c:v>
                </c:pt>
                <c:pt idx="4">
                  <c:v>983.8</c:v>
                </c:pt>
                <c:pt idx="5">
                  <c:v>106.6</c:v>
                </c:pt>
                <c:pt idx="6">
                  <c:v>0</c:v>
                </c:pt>
                <c:pt idx="7">
                  <c:v>713.9</c:v>
                </c:pt>
                <c:pt idx="8">
                  <c:v>476.9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07-428F-BFC9-9D1AFA037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0655535"/>
        <c:axId val="700653135"/>
      </c:barChart>
      <c:catAx>
        <c:axId val="700655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0653135"/>
        <c:crosses val="autoZero"/>
        <c:auto val="1"/>
        <c:lblAlgn val="ctr"/>
        <c:lblOffset val="100"/>
        <c:noMultiLvlLbl val="0"/>
      </c:catAx>
      <c:valAx>
        <c:axId val="7006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0655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[analise_de_filmes.xlsx]Diretor Genero!Tabela dinâmica4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'Diretor Genero'!$B$3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'Diretor Genero'!$A$4:$A$13</c:f>
              <c:strCache>
                <c:ptCount val="9"/>
                <c:pt idx="0">
                  <c:v>Action</c:v>
                </c:pt>
                <c:pt idx="1">
                  <c:v>Adventure</c:v>
                </c:pt>
                <c:pt idx="2">
                  <c:v>Animation</c:v>
                </c:pt>
                <c:pt idx="3">
                  <c:v>Comedy</c:v>
                </c:pt>
                <c:pt idx="4">
                  <c:v>Drama</c:v>
                </c:pt>
                <c:pt idx="5">
                  <c:v>Fantasy</c:v>
                </c:pt>
                <c:pt idx="6">
                  <c:v>Music</c:v>
                </c:pt>
                <c:pt idx="7">
                  <c:v>Mystery &amp; Thriller</c:v>
                </c:pt>
                <c:pt idx="8">
                  <c:v>Sci-Fi</c:v>
                </c:pt>
              </c:strCache>
            </c:strRef>
          </c:cat>
          <c:val>
            <c:numRef>
              <c:f>'Diretor Genero'!$B$4:$B$13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9</c:v>
                </c:pt>
                <c:pt idx="5">
                  <c:v>1</c:v>
                </c:pt>
                <c:pt idx="6">
                  <c:v>1</c:v>
                </c:pt>
                <c:pt idx="7">
                  <c:v>9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16-4FDC-91D9-738A1B4A1B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86367935"/>
        <c:axId val="1486368415"/>
      </c:barChart>
      <c:catAx>
        <c:axId val="1486367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6368415"/>
        <c:crosses val="autoZero"/>
        <c:auto val="1"/>
        <c:lblAlgn val="ctr"/>
        <c:lblOffset val="100"/>
        <c:noMultiLvlLbl val="0"/>
      </c:catAx>
      <c:valAx>
        <c:axId val="1486368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6367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1</xdr:row>
      <xdr:rowOff>118110</xdr:rowOff>
    </xdr:from>
    <xdr:to>
      <xdr:col>10</xdr:col>
      <xdr:colOff>312420</xdr:colOff>
      <xdr:row>16</xdr:row>
      <xdr:rowOff>118110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D19DB03-E69C-EEFC-6786-EB42412A4E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99060</xdr:colOff>
      <xdr:row>1</xdr:row>
      <xdr:rowOff>87630</xdr:rowOff>
    </xdr:from>
    <xdr:to>
      <xdr:col>10</xdr:col>
      <xdr:colOff>403860</xdr:colOff>
      <xdr:row>16</xdr:row>
      <xdr:rowOff>87630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519AE62-716C-BEAC-41D2-91CA5916A8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eatriz Marques" refreshedDate="45468.998454629633" backgroundQuery="1" createdVersion="8" refreshedVersion="8" minRefreshableVersion="3" recordCount="0" supportSubquery="1" supportAdvancedDrill="1" xr:uid="{E5D9FA9C-C8B5-4A52-9996-42A77D1B1447}">
  <cacheSource type="external" connectionId="1"/>
  <cacheFields count="2">
    <cacheField name="[DadosBrutos].[GÊNERO].[GÊNERO]" caption="GÊNERO" numFmtId="0" hierarchy="2" level="1">
      <sharedItems count="9">
        <s v="Action"/>
        <s v="Adventure"/>
        <s v="Animation"/>
        <s v="Comedy"/>
        <s v="Drama"/>
        <s v="Fantasy"/>
        <s v="Music"/>
        <s v="Mystery &amp; Thriller"/>
        <s v="Sci-Fi"/>
      </sharedItems>
    </cacheField>
    <cacheField name="[Measures].[Soma de Valores bilheteria (Milhões)]" caption="Soma de Valores bilheteria (Milhões)" numFmtId="0" hierarchy="19" level="32767"/>
  </cacheFields>
  <cacheHierarchies count="25">
    <cacheHierarchy uniqueName="[DadosBrutos].[FILMES]" caption="FILMES" attribute="1" defaultMemberUniqueName="[DadosBrutos].[FILMES].[All]" allUniqueName="[DadosBrutos].[FILMES].[All]" dimensionUniqueName="[DadosBrutos]" displayFolder="" count="0" memberValueDatatype="130" unbalanced="0"/>
    <cacheHierarchy uniqueName="[DadosBrutos].[LANÇAMENTO]" caption="LANÇAMENTO" attribute="1" defaultMemberUniqueName="[DadosBrutos].[LANÇAMENTO].[All]" allUniqueName="[DadosBrutos].[LANÇAMENTO].[All]" dimensionUniqueName="[DadosBrutos]" displayFolder="" count="0" memberValueDatatype="130" unbalanced="0"/>
    <cacheHierarchy uniqueName="[DadosBrutos].[GÊNERO]" caption="GÊNERO" attribute="1" defaultMemberUniqueName="[DadosBrutos].[GÊNERO].[All]" allUniqueName="[DadosBrutos].[GÊNERO].[All]" dimensionUniqueName="[DadosBrutos]" displayFolder="" count="2" memberValueDatatype="130" unbalanced="0">
      <fieldsUsage count="2">
        <fieldUsage x="-1"/>
        <fieldUsage x="0"/>
      </fieldsUsage>
    </cacheHierarchy>
    <cacheHierarchy uniqueName="[DadosBrutos].[TROPE]" caption="TROPE" attribute="1" defaultMemberUniqueName="[DadosBrutos].[TROPE].[All]" allUniqueName="[DadosBrutos].[TROPE].[All]" dimensionUniqueName="[DadosBrutos]" displayFolder="" count="0" memberValueDatatype="130" unbalanced="0"/>
    <cacheHierarchy uniqueName="[DadosBrutos].[DIRETOR]" caption="DIRETOR" attribute="1" defaultMemberUniqueName="[DadosBrutos].[DIRETOR].[All]" allUniqueName="[DadosBrutos].[DIRETOR].[All]" dimensionUniqueName="[DadosBrutos]" displayFolder="" count="0" memberValueDatatype="130" unbalanced="0"/>
    <cacheHierarchy uniqueName="[DadosBrutos].[BILHETERIA]" caption="BILHETERIA" attribute="1" defaultMemberUniqueName="[DadosBrutos].[BILHETERIA].[All]" allUniqueName="[DadosBrutos].[BILHETERIA].[All]" dimensionUniqueName="[DadosBrutos]" displayFolder="" count="0" memberValueDatatype="130" unbalanced="0"/>
    <cacheHierarchy uniqueName="[DadosBrutos].[AVALIAÇÃO DOS CRÍTICOS (%)]" caption="AVALIAÇÃO DOS CRÍTICOS (%)" attribute="1" defaultMemberUniqueName="[DadosBrutos].[AVALIAÇÃO DOS CRÍTICOS (%)].[All]" allUniqueName="[DadosBrutos].[AVALIAÇÃO DOS CRÍTICOS (%)].[All]" dimensionUniqueName="[DadosBrutos]" displayFolder="" count="0" memberValueDatatype="5" unbalanced="0"/>
    <cacheHierarchy uniqueName="[DadosBrutos].[AVALIAÇÃO DO PÚBLICO (%)]" caption="AVALIAÇÃO DO PÚBLICO (%)" attribute="1" defaultMemberUniqueName="[DadosBrutos].[AVALIAÇÃO DO PÚBLICO (%)].[All]" allUniqueName="[DadosBrutos].[AVALIAÇÃO DO PÚBLICO (%)].[All]" dimensionUniqueName="[DadosBrutos]" displayFolder="" count="0" memberValueDatatype="130" unbalanced="0"/>
    <cacheHierarchy uniqueName="[DadosBrutos].[QUANTIDADE DE AVALIAÇÕES CRIT.]" caption="QUANTIDADE DE AVALIAÇÕES CRIT." attribute="1" defaultMemberUniqueName="[DadosBrutos].[QUANTIDADE DE AVALIAÇÕES CRIT.].[All]" allUniqueName="[DadosBrutos].[QUANTIDADE DE AVALIAÇÕES CRIT.].[All]" dimensionUniqueName="[DadosBrutos]" displayFolder="" count="0" memberValueDatatype="130" unbalanced="0"/>
    <cacheHierarchy uniqueName="[DadosBrutos].[QUANTIDADE DE AVALIAÇÕES PÚBLICO]" caption="QUANTIDADE DE AVALIAÇÕES PÚBLICO" attribute="1" defaultMemberUniqueName="[DadosBrutos].[QUANTIDADE DE AVALIAÇÕES PÚBLICO].[All]" allUniqueName="[DadosBrutos].[QUANTIDADE DE AVALIAÇÕES PÚBLICO].[All]" dimensionUniqueName="[DadosBrutos]" displayFolder="" count="0" memberValueDatatype="130" unbalanced="0"/>
    <cacheHierarchy uniqueName="[DadosBrutos].[Nota críticos]" caption="Nota críticos" attribute="1" defaultMemberUniqueName="[DadosBrutos].[Nota críticos].[All]" allUniqueName="[DadosBrutos].[Nota críticos].[All]" dimensionUniqueName="[DadosBrutos]" displayFolder="" count="0" memberValueDatatype="5" unbalanced="0"/>
    <cacheHierarchy uniqueName="[DadosBrutos].[Nota público]" caption="Nota público" attribute="1" defaultMemberUniqueName="[DadosBrutos].[Nota público].[All]" allUniqueName="[DadosBrutos].[Nota público].[All]" dimensionUniqueName="[DadosBrutos]" displayFolder="" count="0" memberValueDatatype="5" unbalanced="0"/>
    <cacheHierarchy uniqueName="[DadosBrutos].[Quant. avaliações positivas crit.]" caption="Quant. avaliações positivas crit." attribute="1" defaultMemberUniqueName="[DadosBrutos].[Quant. avaliações positivas crit.].[All]" allUniqueName="[DadosBrutos].[Quant. avaliações positivas crit.].[All]" dimensionUniqueName="[DadosBrutos]" displayFolder="" count="0" memberValueDatatype="5" unbalanced="0"/>
    <cacheHierarchy uniqueName="[DadosBrutos].[Quant. avaliações negativas crit.]" caption="Quant. avaliações negativas crit." attribute="1" defaultMemberUniqueName="[DadosBrutos].[Quant. avaliações negativas crit.].[All]" allUniqueName="[DadosBrutos].[Quant. avaliações negativas crit.].[All]" dimensionUniqueName="[DadosBrutos]" displayFolder="" count="0" memberValueDatatype="5" unbalanced="0"/>
    <cacheHierarchy uniqueName="[DadosBrutos].[Quant. avaliações positivas público]" caption="Quant. avaliações positivas público" attribute="1" defaultMemberUniqueName="[DadosBrutos].[Quant. avaliações positivas público].[All]" allUniqueName="[DadosBrutos].[Quant. avaliações positivas público].[All]" dimensionUniqueName="[DadosBrutos]" displayFolder="" count="0" memberValueDatatype="5" unbalanced="0"/>
    <cacheHierarchy uniqueName="[DadosBrutos].[Quant. avaliações negativas públicos]" caption="Quant. avaliações negativas públicos" attribute="1" defaultMemberUniqueName="[DadosBrutos].[Quant. avaliações negativas públicos].[All]" allUniqueName="[DadosBrutos].[Quant. avaliações negativas públicos].[All]" dimensionUniqueName="[DadosBrutos]" displayFolder="" count="0" memberValueDatatype="5" unbalanced="0"/>
    <cacheHierarchy uniqueName="[DadosBrutos].[Valores bilheteria (Milhões)]" caption="Valores bilheteria (Milhões)" attribute="1" defaultMemberUniqueName="[DadosBrutos].[Valores bilheteria (Milhões)].[All]" allUniqueName="[DadosBrutos].[Valores bilheteria (Milhões)].[All]" dimensionUniqueName="[DadosBrutos]" displayFolder="" count="0" memberValueDatatype="5" unbalanced="0"/>
    <cacheHierarchy uniqueName="[Measures].[__XL_Count DadosBrutos]" caption="__XL_Count DadosBrutos" measure="1" displayFolder="" measureGroup="DadosBrutos" count="0" hidden="1"/>
    <cacheHierarchy uniqueName="[Measures].[__No measures defined]" caption="__No measures defined" measure="1" displayFolder="" count="0" hidden="1"/>
    <cacheHierarchy uniqueName="[Measures].[Soma de Valores bilheteria (Milhões)]" caption="Soma de Valores bilheteria (Milhões)" measure="1" displayFolder="" measureGroup="DadosBruto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Contagem de AVALIAÇÃO DO PÚBLICO (%)]" caption="Contagem de AVALIAÇÃO DO PÚBLICO (%)" measure="1" displayFolder="" measureGroup="DadosBrutos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ntagem de AVALIAÇÃO DOS CRÍTICOS (%)]" caption="Contagem de AVALIAÇÃO DOS CRÍTICOS (%)" measure="1" displayFolder="" measureGroup="DadosBruto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ntagem de QUANTIDADE DE AVALIAÇÕES PÚBLICO]" caption="Contagem de QUANTIDADE DE AVALIAÇÕES PÚBLICO" measure="1" displayFolder="" measureGroup="DadosBruto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ntagem de TROPE]" caption="Contagem de TROPE" measure="1" displayFolder="" measureGroup="DadosBruto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ntagem de DIRETOR]" caption="Contagem de DIRETOR" measure="1" displayFolder="" measureGroup="DadosBrutos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2">
    <dimension name="DadosBrutos" uniqueName="[DadosBrutos]" caption="DadosBrutos"/>
    <dimension measure="1" name="Measures" uniqueName="[Measures]" caption="Measures"/>
  </dimensions>
  <measureGroups count="1">
    <measureGroup name="DadosBrutos" caption="DadosBrutos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eatriz Marques" refreshedDate="45468.998455555557" backgroundQuery="1" createdVersion="8" refreshedVersion="8" minRefreshableVersion="3" recordCount="0" supportSubquery="1" supportAdvancedDrill="1" xr:uid="{58D9C956-2944-48AE-AB8F-1EE5A4B6800A}">
  <cacheSource type="external" connectionId="1"/>
  <cacheFields count="2">
    <cacheField name="[Measures].[Contagem de DIRETOR]" caption="Contagem de DIRETOR" numFmtId="0" hierarchy="24" level="32767"/>
    <cacheField name="[DadosBrutos].[GÊNERO].[GÊNERO]" caption="GÊNERO" numFmtId="0" hierarchy="2" level="1">
      <sharedItems count="9">
        <s v="Action"/>
        <s v="Adventure"/>
        <s v="Animation"/>
        <s v="Comedy"/>
        <s v="Drama"/>
        <s v="Fantasy"/>
        <s v="Music"/>
        <s v="Mystery &amp; Thriller"/>
        <s v="Sci-Fi"/>
      </sharedItems>
    </cacheField>
  </cacheFields>
  <cacheHierarchies count="25">
    <cacheHierarchy uniqueName="[DadosBrutos].[FILMES]" caption="FILMES" attribute="1" defaultMemberUniqueName="[DadosBrutos].[FILMES].[All]" allUniqueName="[DadosBrutos].[FILMES].[All]" dimensionUniqueName="[DadosBrutos]" displayFolder="" count="0" memberValueDatatype="130" unbalanced="0"/>
    <cacheHierarchy uniqueName="[DadosBrutos].[LANÇAMENTO]" caption="LANÇAMENTO" attribute="1" defaultMemberUniqueName="[DadosBrutos].[LANÇAMENTO].[All]" allUniqueName="[DadosBrutos].[LANÇAMENTO].[All]" dimensionUniqueName="[DadosBrutos]" displayFolder="" count="0" memberValueDatatype="130" unbalanced="0"/>
    <cacheHierarchy uniqueName="[DadosBrutos].[GÊNERO]" caption="GÊNERO" attribute="1" defaultMemberUniqueName="[DadosBrutos].[GÊNERO].[All]" allUniqueName="[DadosBrutos].[GÊNERO].[All]" dimensionUniqueName="[DadosBrutos]" displayFolder="" count="2" memberValueDatatype="130" unbalanced="0">
      <fieldsUsage count="2">
        <fieldUsage x="-1"/>
        <fieldUsage x="1"/>
      </fieldsUsage>
    </cacheHierarchy>
    <cacheHierarchy uniqueName="[DadosBrutos].[TROPE]" caption="TROPE" attribute="1" defaultMemberUniqueName="[DadosBrutos].[TROPE].[All]" allUniqueName="[DadosBrutos].[TROPE].[All]" dimensionUniqueName="[DadosBrutos]" displayFolder="" count="0" memberValueDatatype="130" unbalanced="0"/>
    <cacheHierarchy uniqueName="[DadosBrutos].[DIRETOR]" caption="DIRETOR" attribute="1" defaultMemberUniqueName="[DadosBrutos].[DIRETOR].[All]" allUniqueName="[DadosBrutos].[DIRETOR].[All]" dimensionUniqueName="[DadosBrutos]" displayFolder="" count="0" memberValueDatatype="130" unbalanced="0"/>
    <cacheHierarchy uniqueName="[DadosBrutos].[BILHETERIA]" caption="BILHETERIA" attribute="1" defaultMemberUniqueName="[DadosBrutos].[BILHETERIA].[All]" allUniqueName="[DadosBrutos].[BILHETERIA].[All]" dimensionUniqueName="[DadosBrutos]" displayFolder="" count="0" memberValueDatatype="130" unbalanced="0"/>
    <cacheHierarchy uniqueName="[DadosBrutos].[AVALIAÇÃO DOS CRÍTICOS (%)]" caption="AVALIAÇÃO DOS CRÍTICOS (%)" attribute="1" defaultMemberUniqueName="[DadosBrutos].[AVALIAÇÃO DOS CRÍTICOS (%)].[All]" allUniqueName="[DadosBrutos].[AVALIAÇÃO DOS CRÍTICOS (%)].[All]" dimensionUniqueName="[DadosBrutos]" displayFolder="" count="0" memberValueDatatype="5" unbalanced="0"/>
    <cacheHierarchy uniqueName="[DadosBrutos].[AVALIAÇÃO DO PÚBLICO (%)]" caption="AVALIAÇÃO DO PÚBLICO (%)" attribute="1" defaultMemberUniqueName="[DadosBrutos].[AVALIAÇÃO DO PÚBLICO (%)].[All]" allUniqueName="[DadosBrutos].[AVALIAÇÃO DO PÚBLICO (%)].[All]" dimensionUniqueName="[DadosBrutos]" displayFolder="" count="0" memberValueDatatype="130" unbalanced="0"/>
    <cacheHierarchy uniqueName="[DadosBrutos].[QUANTIDADE DE AVALIAÇÕES CRIT.]" caption="QUANTIDADE DE AVALIAÇÕES CRIT." attribute="1" defaultMemberUniqueName="[DadosBrutos].[QUANTIDADE DE AVALIAÇÕES CRIT.].[All]" allUniqueName="[DadosBrutos].[QUANTIDADE DE AVALIAÇÕES CRIT.].[All]" dimensionUniqueName="[DadosBrutos]" displayFolder="" count="0" memberValueDatatype="130" unbalanced="0"/>
    <cacheHierarchy uniqueName="[DadosBrutos].[QUANTIDADE DE AVALIAÇÕES PÚBLICO]" caption="QUANTIDADE DE AVALIAÇÕES PÚBLICO" attribute="1" defaultMemberUniqueName="[DadosBrutos].[QUANTIDADE DE AVALIAÇÕES PÚBLICO].[All]" allUniqueName="[DadosBrutos].[QUANTIDADE DE AVALIAÇÕES PÚBLICO].[All]" dimensionUniqueName="[DadosBrutos]" displayFolder="" count="0" memberValueDatatype="130" unbalanced="0"/>
    <cacheHierarchy uniqueName="[DadosBrutos].[Nota críticos]" caption="Nota críticos" attribute="1" defaultMemberUniqueName="[DadosBrutos].[Nota críticos].[All]" allUniqueName="[DadosBrutos].[Nota críticos].[All]" dimensionUniqueName="[DadosBrutos]" displayFolder="" count="0" memberValueDatatype="5" unbalanced="0"/>
    <cacheHierarchy uniqueName="[DadosBrutos].[Nota público]" caption="Nota público" attribute="1" defaultMemberUniqueName="[DadosBrutos].[Nota público].[All]" allUniqueName="[DadosBrutos].[Nota público].[All]" dimensionUniqueName="[DadosBrutos]" displayFolder="" count="0" memberValueDatatype="5" unbalanced="0"/>
    <cacheHierarchy uniqueName="[DadosBrutos].[Quant. avaliações positivas crit.]" caption="Quant. avaliações positivas crit." attribute="1" defaultMemberUniqueName="[DadosBrutos].[Quant. avaliações positivas crit.].[All]" allUniqueName="[DadosBrutos].[Quant. avaliações positivas crit.].[All]" dimensionUniqueName="[DadosBrutos]" displayFolder="" count="0" memberValueDatatype="5" unbalanced="0"/>
    <cacheHierarchy uniqueName="[DadosBrutos].[Quant. avaliações negativas crit.]" caption="Quant. avaliações negativas crit." attribute="1" defaultMemberUniqueName="[DadosBrutos].[Quant. avaliações negativas crit.].[All]" allUniqueName="[DadosBrutos].[Quant. avaliações negativas crit.].[All]" dimensionUniqueName="[DadosBrutos]" displayFolder="" count="0" memberValueDatatype="5" unbalanced="0"/>
    <cacheHierarchy uniqueName="[DadosBrutos].[Quant. avaliações positivas público]" caption="Quant. avaliações positivas público" attribute="1" defaultMemberUniqueName="[DadosBrutos].[Quant. avaliações positivas público].[All]" allUniqueName="[DadosBrutos].[Quant. avaliações positivas público].[All]" dimensionUniqueName="[DadosBrutos]" displayFolder="" count="0" memberValueDatatype="5" unbalanced="0"/>
    <cacheHierarchy uniqueName="[DadosBrutos].[Quant. avaliações negativas públicos]" caption="Quant. avaliações negativas públicos" attribute="1" defaultMemberUniqueName="[DadosBrutos].[Quant. avaliações negativas públicos].[All]" allUniqueName="[DadosBrutos].[Quant. avaliações negativas públicos].[All]" dimensionUniqueName="[DadosBrutos]" displayFolder="" count="0" memberValueDatatype="5" unbalanced="0"/>
    <cacheHierarchy uniqueName="[DadosBrutos].[Valores bilheteria (Milhões)]" caption="Valores bilheteria (Milhões)" attribute="1" defaultMemberUniqueName="[DadosBrutos].[Valores bilheteria (Milhões)].[All]" allUniqueName="[DadosBrutos].[Valores bilheteria (Milhões)].[All]" dimensionUniqueName="[DadosBrutos]" displayFolder="" count="0" memberValueDatatype="5" unbalanced="0"/>
    <cacheHierarchy uniqueName="[Measures].[__XL_Count DadosBrutos]" caption="__XL_Count DadosBrutos" measure="1" displayFolder="" measureGroup="DadosBrutos" count="0" hidden="1"/>
    <cacheHierarchy uniqueName="[Measures].[__No measures defined]" caption="__No measures defined" measure="1" displayFolder="" count="0" hidden="1"/>
    <cacheHierarchy uniqueName="[Measures].[Soma de Valores bilheteria (Milhões)]" caption="Soma de Valores bilheteria (Milhões)" measure="1" displayFolder="" measureGroup="DadosBrutos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Contagem de AVALIAÇÃO DO PÚBLICO (%)]" caption="Contagem de AVALIAÇÃO DO PÚBLICO (%)" measure="1" displayFolder="" measureGroup="DadosBrutos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ntagem de AVALIAÇÃO DOS CRÍTICOS (%)]" caption="Contagem de AVALIAÇÃO DOS CRÍTICOS (%)" measure="1" displayFolder="" measureGroup="DadosBruto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ntagem de QUANTIDADE DE AVALIAÇÕES PÚBLICO]" caption="Contagem de QUANTIDADE DE AVALIAÇÕES PÚBLICO" measure="1" displayFolder="" measureGroup="DadosBruto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ntagem de TROPE]" caption="Contagem de TROPE" measure="1" displayFolder="" measureGroup="DadosBruto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ntagem de DIRETOR]" caption="Contagem de DIRETOR" measure="1" displayFolder="" measureGroup="DadosBrutos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2">
    <dimension name="DadosBrutos" uniqueName="[DadosBrutos]" caption="DadosBrutos"/>
    <dimension measure="1" name="Measures" uniqueName="[Measures]" caption="Measures"/>
  </dimensions>
  <measureGroups count="1">
    <measureGroup name="DadosBrutos" caption="DadosBrutos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C22CD0-E2B7-4B15-9163-88B35996CB92}" name="Tabela dinâmica2" cacheId="29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B13" firstHeaderRow="1" firstDataRow="1" firstDataCol="1"/>
  <pivotFields count="2">
    <pivotField axis="axisRow" allDrilled="1" subtotalTop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  <pivotField dataField="1" subtotalTop="0" showAll="0" defaultSubtota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oma de Valores bilheteria (Milhões)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Medium9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adosBru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D0921F-6F1A-4995-8C93-5D304BD62662}" name="Tabela dinâmica4" cacheId="29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B13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ntagem de DIRETOR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Medium9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adosBru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dosBrutos" displayName="DadosBrutos" ref="A1:Q28" totalsRowShown="0" headerRowDxfId="25" dataDxfId="24">
  <autoFilter ref="A1:Q28" xr:uid="{00000000-0009-0000-0100-000001000000}"/>
  <tableColumns count="17">
    <tableColumn id="1" xr3:uid="{00000000-0010-0000-0000-000001000000}" name="FILMES" dataDxfId="7">
      <calculatedColumnFormula>'Tabela de Filmes'!A2</calculatedColumnFormula>
    </tableColumn>
    <tableColumn id="2" xr3:uid="{00000000-0010-0000-0000-000002000000}" name="LANÇAMENTO" dataDxfId="8">
      <calculatedColumnFormula>'Tabela de Filmes'!B2</calculatedColumnFormula>
    </tableColumn>
    <tableColumn id="3" xr3:uid="{00000000-0010-0000-0000-000003000000}" name="GÊNERO" dataDxfId="6">
      <calculatedColumnFormula>'Tabela de Filmes'!C2</calculatedColumnFormula>
    </tableColumn>
    <tableColumn id="4" xr3:uid="{00000000-0010-0000-0000-000004000000}" name="TROPE" dataDxfId="5">
      <calculatedColumnFormula>'Tabela de Filmes'!D2</calculatedColumnFormula>
    </tableColumn>
    <tableColumn id="13" xr3:uid="{00000000-0010-0000-0000-00000D000000}" name="DIRETOR" dataDxfId="4">
      <calculatedColumnFormula>'Tabela de Filmes'!E2</calculatedColumnFormula>
    </tableColumn>
    <tableColumn id="6" xr3:uid="{00000000-0010-0000-0000-000006000000}" name="BILHETERIA" dataDxfId="1">
      <calculatedColumnFormula>'Tabela de Filmes'!F2</calculatedColumnFormula>
    </tableColumn>
    <tableColumn id="7" xr3:uid="{00000000-0010-0000-0000-000007000000}" name="AVALIAÇÃO DOS CRÍTICOS (%)" dataCellStyle="Porcentagem">
      <calculatedColumnFormula>VALUE('Tabela de Filmes'!G2)</calculatedColumnFormula>
    </tableColumn>
    <tableColumn id="8" xr3:uid="{00000000-0010-0000-0000-000008000000}" name="AVALIAÇÃO DO PÚBLICO (%)" dataDxfId="0">
      <calculatedColumnFormula>'Tabela de Filmes'!H2</calculatedColumnFormula>
    </tableColumn>
    <tableColumn id="9" xr3:uid="{00000000-0010-0000-0000-000009000000}" name="QUANTIDADE DE AVALIAÇÕES CRIT." dataDxfId="3">
      <calculatedColumnFormula>'Tabela de Filmes'!I2</calculatedColumnFormula>
    </tableColumn>
    <tableColumn id="14" xr3:uid="{00000000-0010-0000-0000-00000E000000}" name="QUANTIDADE DE AVALIAÇÕES PÚBLICO" dataDxfId="2">
      <calculatedColumnFormula>'Tabela de Filmes'!J2</calculatedColumnFormula>
    </tableColumn>
    <tableColumn id="5" xr3:uid="{00000000-0010-0000-0000-000005000000}" name="Nota críticos" dataDxfId="23">
      <calculatedColumnFormula>DadosBrutos[[#This Row],[AVALIAÇÃO DOS CRÍTICOS (%)]]*10</calculatedColumnFormula>
    </tableColumn>
    <tableColumn id="10" xr3:uid="{00000000-0010-0000-0000-00000A000000}" name="Nota público" dataDxfId="22">
      <calculatedColumnFormula>DadosBrutos[[#This Row],[AVALIAÇÃO DO PÚBLICO (%)]]*10</calculatedColumnFormula>
    </tableColumn>
    <tableColumn id="11" xr3:uid="{00000000-0010-0000-0000-00000B000000}" name="Quant. avaliações positivas crit." dataDxfId="21">
      <calculatedColumnFormula>DadosBrutos[[#This Row],[QUANTIDADE DE AVALIAÇÕES CRIT.]]*DadosBrutos[[#This Row],[AVALIAÇÃO DOS CRÍTICOS (%)]]</calculatedColumnFormula>
    </tableColumn>
    <tableColumn id="12" xr3:uid="{00000000-0010-0000-0000-00000C000000}" name="Quant. avaliações negativas crit." dataDxfId="20">
      <calculatedColumnFormula>DadosBrutos[[#This Row],[QUANTIDADE DE AVALIAÇÕES CRIT.]]-DadosBrutos[[#This Row],[Quant. avaliações positivas crit.]]</calculatedColumnFormula>
    </tableColumn>
    <tableColumn id="15" xr3:uid="{00000000-0010-0000-0000-00000F000000}" name="Quant. avaliações positivas público" dataDxfId="19">
      <calculatedColumnFormula>DadosBrutos[[#This Row],[QUANTIDADE DE AVALIAÇÕES PÚBLICO]]*DadosBrutos[[#This Row],[AVALIAÇÃO DO PÚBLICO (%)]]</calculatedColumnFormula>
    </tableColumn>
    <tableColumn id="16" xr3:uid="{00000000-0010-0000-0000-000010000000}" name="Quant. avaliações negativas públicos" dataDxfId="18">
      <calculatedColumnFormula>DadosBrutos[[#This Row],[QUANTIDADE DE AVALIAÇÕES PÚBLICO]]-DadosBrutos[[#This Row],[Quant. avaliações positivas público]]</calculatedColumnFormula>
    </tableColumn>
    <tableColumn id="17" xr3:uid="{00000000-0010-0000-0000-000011000000}" name="Valores bilheteria (Milhões)" dataDxfId="17">
      <calculatedColumnFormula>VALUE(IF(DadosBrutos[[#This Row],[BILHETERIA]]="","0",VALUE(SUBSTITUTE(SUBSTITUTE(SUBSTITUTE(SUBSTITUTE(DadosBrutos[[#This Row],[BILHETERIA]], "M", ""), "$", ""),".",","),"K",""))))</calculatedColumnFormula>
    </tableColumn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4" displayName="Tabela24" ref="A1:F5" totalsRowShown="0" headerRowDxfId="16" dataDxfId="15">
  <autoFilter ref="A1:F5" xr:uid="{00000000-0009-0000-0100-000002000000}"/>
  <tableColumns count="6">
    <tableColumn id="1" xr3:uid="{00000000-0010-0000-0100-000001000000}" name="Análises:" dataDxfId="14"/>
    <tableColumn id="2" xr3:uid="{00000000-0010-0000-0100-000002000000}" name="Nome do filme" dataDxfId="13">
      <calculatedColumnFormula>LARGE($Q$2:$Q$13,1)</calculatedColumnFormula>
    </tableColumn>
    <tableColumn id="3" xr3:uid="{00000000-0010-0000-0100-000003000000}" name="trope" dataDxfId="12">
      <calculatedColumnFormula>INDEX('Dados Brutos'!E:E,MATCH(Tabela24[[#This Row],[Nome do filme]],'Dados Brutos'!A:A,0))</calculatedColumnFormula>
    </tableColumn>
    <tableColumn id="5" xr3:uid="{00000000-0010-0000-0100-000005000000}" name="Avaliação do público" dataDxfId="11" dataCellStyle="Porcentagem"/>
    <tableColumn id="6" xr3:uid="{00000000-0010-0000-0100-000006000000}" name="Avaliação dos críticos" dataDxfId="10">
      <calculatedColumnFormula>INDEX('Dados Brutos'!G:G,MATCH(Tabela24[[#This Row],[Nome do filme]],'Dados Brutos'!A:A,0))</calculatedColumnFormula>
    </tableColumn>
    <tableColumn id="4" xr3:uid="{00000000-0010-0000-0100-000004000000}" name="Valor Arrecadado (Mil.)" dataDxfId="9"/>
  </tableColumns>
  <tableStyleInfo name="TableStyleMedium8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opLeftCell="A6" workbookViewId="0">
      <selection activeCell="F30" sqref="F3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3">
      <c r="A4" t="s">
        <v>30</v>
      </c>
      <c r="B4" t="s">
        <v>21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 x14ac:dyDescent="0.3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 spans="1:10" x14ac:dyDescent="0.3">
      <c r="A6" t="s">
        <v>49</v>
      </c>
      <c r="B6" t="s">
        <v>50</v>
      </c>
      <c r="C6" t="s">
        <v>22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</row>
    <row r="7" spans="1:10" x14ac:dyDescent="0.3">
      <c r="A7" t="s">
        <v>58</v>
      </c>
      <c r="B7" t="s">
        <v>59</v>
      </c>
      <c r="C7" t="s">
        <v>22</v>
      </c>
      <c r="D7" t="s">
        <v>60</v>
      </c>
      <c r="E7" t="s">
        <v>61</v>
      </c>
      <c r="F7" t="s">
        <v>62</v>
      </c>
      <c r="G7" t="s">
        <v>26</v>
      </c>
      <c r="H7" t="s">
        <v>63</v>
      </c>
      <c r="I7" t="s">
        <v>64</v>
      </c>
      <c r="J7" t="s">
        <v>48</v>
      </c>
    </row>
    <row r="8" spans="1:10" x14ac:dyDescent="0.3">
      <c r="A8" t="s">
        <v>65</v>
      </c>
      <c r="B8" t="s">
        <v>66</v>
      </c>
      <c r="C8" t="s">
        <v>22</v>
      </c>
      <c r="D8" t="s">
        <v>67</v>
      </c>
      <c r="E8" t="s">
        <v>68</v>
      </c>
      <c r="G8" t="s">
        <v>69</v>
      </c>
      <c r="I8" t="s">
        <v>70</v>
      </c>
    </row>
    <row r="9" spans="1:10" x14ac:dyDescent="0.3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19</v>
      </c>
    </row>
    <row r="10" spans="1:10" x14ac:dyDescent="0.3">
      <c r="A10" t="s">
        <v>80</v>
      </c>
      <c r="B10" t="s">
        <v>40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38</v>
      </c>
    </row>
    <row r="11" spans="1:10" x14ac:dyDescent="0.3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16</v>
      </c>
      <c r="H11" t="s">
        <v>94</v>
      </c>
      <c r="I11" t="s">
        <v>95</v>
      </c>
      <c r="J11" t="s">
        <v>48</v>
      </c>
    </row>
    <row r="12" spans="1:10" x14ac:dyDescent="0.3">
      <c r="A12" t="s">
        <v>96</v>
      </c>
      <c r="B12" t="s">
        <v>21</v>
      </c>
      <c r="C12" t="s">
        <v>81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102</v>
      </c>
      <c r="J12" t="s">
        <v>57</v>
      </c>
    </row>
    <row r="13" spans="1:10" x14ac:dyDescent="0.3">
      <c r="A13" t="s">
        <v>103</v>
      </c>
      <c r="B13" t="s">
        <v>66</v>
      </c>
      <c r="C13" t="s">
        <v>81</v>
      </c>
      <c r="D13" t="s">
        <v>104</v>
      </c>
      <c r="E13" t="s">
        <v>105</v>
      </c>
    </row>
    <row r="14" spans="1:10" x14ac:dyDescent="0.3">
      <c r="A14" t="s">
        <v>106</v>
      </c>
      <c r="B14" t="s">
        <v>72</v>
      </c>
      <c r="C14" t="s">
        <v>81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  <c r="J14" t="s">
        <v>113</v>
      </c>
    </row>
    <row r="15" spans="1:10" x14ac:dyDescent="0.3">
      <c r="A15" t="s">
        <v>114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122</v>
      </c>
      <c r="J15" t="s">
        <v>19</v>
      </c>
    </row>
    <row r="16" spans="1:10" x14ac:dyDescent="0.3">
      <c r="A16" t="s">
        <v>123</v>
      </c>
      <c r="B16" t="s">
        <v>124</v>
      </c>
      <c r="C16" t="s">
        <v>22</v>
      </c>
      <c r="D16" t="s">
        <v>125</v>
      </c>
      <c r="E16" t="s">
        <v>126</v>
      </c>
      <c r="F16" t="s">
        <v>127</v>
      </c>
      <c r="G16" t="s">
        <v>128</v>
      </c>
      <c r="H16" t="s">
        <v>121</v>
      </c>
      <c r="I16" t="s">
        <v>129</v>
      </c>
      <c r="J16" t="s">
        <v>57</v>
      </c>
    </row>
    <row r="17" spans="1:10" x14ac:dyDescent="0.3">
      <c r="A17" t="s">
        <v>130</v>
      </c>
      <c r="B17" t="s">
        <v>131</v>
      </c>
      <c r="C17" t="s">
        <v>90</v>
      </c>
      <c r="D17" t="s">
        <v>132</v>
      </c>
      <c r="E17" t="s">
        <v>133</v>
      </c>
      <c r="F17" t="s">
        <v>134</v>
      </c>
      <c r="G17" t="s">
        <v>63</v>
      </c>
      <c r="H17" t="s">
        <v>55</v>
      </c>
      <c r="I17" t="s">
        <v>135</v>
      </c>
      <c r="J17" t="s">
        <v>57</v>
      </c>
    </row>
    <row r="18" spans="1:10" x14ac:dyDescent="0.3">
      <c r="A18" t="s">
        <v>136</v>
      </c>
      <c r="B18" t="s">
        <v>137</v>
      </c>
      <c r="C18" t="s">
        <v>22</v>
      </c>
      <c r="D18" t="s">
        <v>138</v>
      </c>
      <c r="E18" t="s">
        <v>139</v>
      </c>
      <c r="F18" t="s">
        <v>140</v>
      </c>
      <c r="G18" t="s">
        <v>141</v>
      </c>
      <c r="H18" t="s">
        <v>17</v>
      </c>
      <c r="I18" s="9" t="s">
        <v>142</v>
      </c>
      <c r="J18" t="s">
        <v>57</v>
      </c>
    </row>
    <row r="19" spans="1:10" x14ac:dyDescent="0.3">
      <c r="A19" t="s">
        <v>143</v>
      </c>
      <c r="B19" t="s">
        <v>89</v>
      </c>
      <c r="C19" t="s">
        <v>12</v>
      </c>
      <c r="D19" t="s">
        <v>22</v>
      </c>
      <c r="E19" t="s">
        <v>144</v>
      </c>
      <c r="F19" t="s">
        <v>145</v>
      </c>
      <c r="G19" t="s">
        <v>101</v>
      </c>
      <c r="H19" t="s">
        <v>120</v>
      </c>
      <c r="I19" t="s">
        <v>146</v>
      </c>
      <c r="J19" t="s">
        <v>48</v>
      </c>
    </row>
    <row r="20" spans="1:10" x14ac:dyDescent="0.3">
      <c r="A20" t="s">
        <v>147</v>
      </c>
      <c r="B20" t="s">
        <v>148</v>
      </c>
      <c r="C20" t="s">
        <v>81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  <c r="I20" t="s">
        <v>154</v>
      </c>
      <c r="J20" t="s">
        <v>29</v>
      </c>
    </row>
    <row r="21" spans="1:10" x14ac:dyDescent="0.3">
      <c r="A21" t="s">
        <v>155</v>
      </c>
      <c r="B21" t="s">
        <v>156</v>
      </c>
      <c r="C21" t="s">
        <v>22</v>
      </c>
      <c r="D21" t="s">
        <v>157</v>
      </c>
      <c r="E21" t="s">
        <v>158</v>
      </c>
      <c r="F21" t="s">
        <v>159</v>
      </c>
      <c r="G21" t="s">
        <v>46</v>
      </c>
      <c r="H21" t="s">
        <v>160</v>
      </c>
      <c r="I21" t="s">
        <v>161</v>
      </c>
      <c r="J21" t="s">
        <v>29</v>
      </c>
    </row>
    <row r="22" spans="1:10" x14ac:dyDescent="0.3">
      <c r="A22" t="s">
        <v>162</v>
      </c>
      <c r="B22" t="s">
        <v>11</v>
      </c>
      <c r="C22" t="s">
        <v>81</v>
      </c>
      <c r="D22" t="s">
        <v>163</v>
      </c>
      <c r="E22" t="s">
        <v>164</v>
      </c>
      <c r="F22" t="s">
        <v>165</v>
      </c>
      <c r="G22" t="s">
        <v>36</v>
      </c>
      <c r="H22" t="s">
        <v>45</v>
      </c>
      <c r="I22" t="s">
        <v>166</v>
      </c>
      <c r="J22" t="s">
        <v>57</v>
      </c>
    </row>
    <row r="23" spans="1:10" x14ac:dyDescent="0.3">
      <c r="A23" t="s">
        <v>167</v>
      </c>
      <c r="B23" t="s">
        <v>168</v>
      </c>
      <c r="C23" t="s">
        <v>22</v>
      </c>
      <c r="D23" t="s">
        <v>169</v>
      </c>
      <c r="E23" t="s">
        <v>170</v>
      </c>
      <c r="G23" t="s">
        <v>36</v>
      </c>
      <c r="I23" t="s">
        <v>171</v>
      </c>
    </row>
    <row r="24" spans="1:10" x14ac:dyDescent="0.3">
      <c r="A24" t="s">
        <v>172</v>
      </c>
      <c r="B24" t="s">
        <v>40</v>
      </c>
      <c r="C24" t="s">
        <v>81</v>
      </c>
      <c r="D24" t="s">
        <v>173</v>
      </c>
      <c r="E24" t="s">
        <v>174</v>
      </c>
      <c r="F24" t="s">
        <v>175</v>
      </c>
      <c r="G24" t="s">
        <v>176</v>
      </c>
      <c r="H24" t="s">
        <v>177</v>
      </c>
      <c r="I24" t="s">
        <v>178</v>
      </c>
      <c r="J24" t="s">
        <v>29</v>
      </c>
    </row>
    <row r="25" spans="1:10" x14ac:dyDescent="0.3">
      <c r="A25" t="s">
        <v>179</v>
      </c>
      <c r="B25" t="s">
        <v>180</v>
      </c>
      <c r="C25" t="s">
        <v>81</v>
      </c>
      <c r="D25" t="s">
        <v>181</v>
      </c>
      <c r="E25" t="s">
        <v>182</v>
      </c>
      <c r="F25" t="s">
        <v>183</v>
      </c>
      <c r="G25" t="s">
        <v>26</v>
      </c>
      <c r="H25" t="s">
        <v>177</v>
      </c>
      <c r="I25" t="s">
        <v>184</v>
      </c>
      <c r="J25" t="s">
        <v>113</v>
      </c>
    </row>
    <row r="26" spans="1:10" x14ac:dyDescent="0.3">
      <c r="A26" t="s">
        <v>185</v>
      </c>
      <c r="B26" t="s">
        <v>50</v>
      </c>
      <c r="C26" t="s">
        <v>22</v>
      </c>
      <c r="D26" t="s">
        <v>186</v>
      </c>
      <c r="E26" t="s">
        <v>187</v>
      </c>
      <c r="G26" t="s">
        <v>78</v>
      </c>
      <c r="H26" t="s">
        <v>26</v>
      </c>
      <c r="I26" t="s">
        <v>188</v>
      </c>
      <c r="J26" t="s">
        <v>57</v>
      </c>
    </row>
    <row r="27" spans="1:10" x14ac:dyDescent="0.3">
      <c r="A27" t="s">
        <v>189</v>
      </c>
      <c r="B27" t="s">
        <v>190</v>
      </c>
      <c r="C27" t="s">
        <v>191</v>
      </c>
      <c r="D27" t="s">
        <v>192</v>
      </c>
      <c r="E27" t="s">
        <v>193</v>
      </c>
      <c r="H27" t="s">
        <v>35</v>
      </c>
      <c r="J27" t="s">
        <v>29</v>
      </c>
    </row>
    <row r="28" spans="1:10" x14ac:dyDescent="0.3">
      <c r="A28" t="s">
        <v>194</v>
      </c>
      <c r="B28" t="s">
        <v>59</v>
      </c>
      <c r="C28" t="s">
        <v>81</v>
      </c>
      <c r="D28" t="s">
        <v>195</v>
      </c>
      <c r="E28" t="s">
        <v>196</v>
      </c>
      <c r="F28" t="s">
        <v>197</v>
      </c>
      <c r="G28" t="s">
        <v>198</v>
      </c>
      <c r="H28" t="s">
        <v>199</v>
      </c>
      <c r="I28" t="s">
        <v>200</v>
      </c>
      <c r="J28" t="s">
        <v>113</v>
      </c>
    </row>
    <row r="29" spans="1:10" x14ac:dyDescent="0.3">
      <c r="D29" t="s">
        <v>201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8"/>
  <sheetViews>
    <sheetView topLeftCell="F1" zoomScale="85" zoomScaleNormal="85" workbookViewId="0">
      <selection activeCell="G17" sqref="G17"/>
    </sheetView>
  </sheetViews>
  <sheetFormatPr defaultRowHeight="14.4" x14ac:dyDescent="0.3"/>
  <cols>
    <col min="1" max="1" width="32.44140625" customWidth="1"/>
    <col min="2" max="2" width="21.88671875" customWidth="1"/>
    <col min="3" max="3" width="42.44140625" customWidth="1"/>
    <col min="4" max="4" width="18" customWidth="1"/>
    <col min="5" max="5" width="21.44140625" customWidth="1"/>
    <col min="6" max="6" width="22.88671875" style="1" bestFit="1" customWidth="1"/>
    <col min="7" max="7" width="29.88671875" style="12" customWidth="1"/>
    <col min="8" max="8" width="31.44140625" customWidth="1"/>
    <col min="9" max="9" width="35.33203125" customWidth="1"/>
    <col min="10" max="10" width="33" customWidth="1"/>
    <col min="11" max="11" width="29.77734375" customWidth="1"/>
    <col min="12" max="12" width="30.33203125" customWidth="1"/>
    <col min="13" max="13" width="32.6640625" customWidth="1"/>
    <col min="14" max="14" width="33.21875" customWidth="1"/>
    <col min="15" max="15" width="38.109375" customWidth="1"/>
    <col min="16" max="16" width="36.6640625" customWidth="1"/>
    <col min="17" max="17" width="26" customWidth="1"/>
  </cols>
  <sheetData>
    <row r="1" spans="1:17" x14ac:dyDescent="0.3">
      <c r="A1" s="4" t="s">
        <v>221</v>
      </c>
      <c r="B1" s="4" t="s">
        <v>222</v>
      </c>
      <c r="C1" s="4" t="s">
        <v>223</v>
      </c>
      <c r="D1" s="4" t="s">
        <v>224</v>
      </c>
      <c r="E1" s="4" t="s">
        <v>225</v>
      </c>
      <c r="F1" s="6" t="s">
        <v>226</v>
      </c>
      <c r="G1" s="12" t="s">
        <v>227</v>
      </c>
      <c r="H1" s="4" t="s">
        <v>228</v>
      </c>
      <c r="I1" s="4" t="s">
        <v>229</v>
      </c>
      <c r="J1" s="4" t="s">
        <v>230</v>
      </c>
      <c r="K1" s="4" t="s">
        <v>202</v>
      </c>
      <c r="L1" s="4" t="s">
        <v>203</v>
      </c>
      <c r="M1" s="4" t="s">
        <v>204</v>
      </c>
      <c r="N1" s="4" t="s">
        <v>205</v>
      </c>
      <c r="O1" s="4" t="s">
        <v>206</v>
      </c>
      <c r="P1" s="4" t="s">
        <v>207</v>
      </c>
      <c r="Q1" s="4" t="s">
        <v>208</v>
      </c>
    </row>
    <row r="2" spans="1:17" x14ac:dyDescent="0.3">
      <c r="A2" s="4" t="str">
        <f>'Tabela de Filmes'!A2</f>
        <v>Inside Out 2</v>
      </c>
      <c r="B2" s="4" t="str">
        <f>'Tabela de Filmes'!B2</f>
        <v>Jun 14, 2024, Wide</v>
      </c>
      <c r="C2" s="4" t="str">
        <f>'Tabela de Filmes'!C2</f>
        <v>Animation</v>
      </c>
      <c r="D2" s="4" t="str">
        <f>'Tabela de Filmes'!D2</f>
        <v xml:space="preserve">Final Girl </v>
      </c>
      <c r="E2" s="4" t="str">
        <f>'Tabela de Filmes'!E2</f>
        <v>Kelsey Mann</v>
      </c>
      <c r="F2" s="6" t="str">
        <f>'Tabela de Filmes'!F2</f>
        <v>$356.4M</v>
      </c>
      <c r="G2" s="12">
        <f>VALUE('Tabela de Filmes'!G2)</f>
        <v>0.9</v>
      </c>
      <c r="H2" s="5" t="str">
        <f>'Tabela de Filmes'!H2</f>
        <v>96%</v>
      </c>
      <c r="I2" s="4" t="str">
        <f>'Tabela de Filmes'!I2</f>
        <v>260</v>
      </c>
      <c r="J2" s="4" t="str">
        <f>'Tabela de Filmes'!J2</f>
        <v>2500</v>
      </c>
      <c r="K2" s="4">
        <f>DadosBrutos[[#This Row],[AVALIAÇÃO DOS CRÍTICOS (%)]]*10</f>
        <v>9</v>
      </c>
      <c r="L2" s="4">
        <f>DadosBrutos[[#This Row],[AVALIAÇÃO DO PÚBLICO (%)]]*10</f>
        <v>9.6</v>
      </c>
      <c r="M2" s="6">
        <f>DadosBrutos[[#This Row],[QUANTIDADE DE AVALIAÇÕES CRIT.]]*DadosBrutos[[#This Row],[AVALIAÇÃO DOS CRÍTICOS (%)]]</f>
        <v>234</v>
      </c>
      <c r="N2" s="6">
        <f>DadosBrutos[[#This Row],[QUANTIDADE DE AVALIAÇÕES CRIT.]]-DadosBrutos[[#This Row],[Quant. avaliações positivas crit.]]</f>
        <v>26</v>
      </c>
      <c r="O2" s="6">
        <f>DadosBrutos[[#This Row],[QUANTIDADE DE AVALIAÇÕES PÚBLICO]]*DadosBrutos[[#This Row],[AVALIAÇÃO DO PÚBLICO (%)]]</f>
        <v>2400</v>
      </c>
      <c r="P2" s="6">
        <f>DadosBrutos[[#This Row],[QUANTIDADE DE AVALIAÇÕES PÚBLICO]]-DadosBrutos[[#This Row],[Quant. avaliações positivas público]]</f>
        <v>100</v>
      </c>
      <c r="Q2" s="7">
        <f>VALUE(IF(DadosBrutos[[#This Row],[BILHETERIA]]="","0",VALUE(SUBSTITUTE(SUBSTITUTE(SUBSTITUTE(SUBSTITUTE(DadosBrutos[[#This Row],[BILHETERIA]], "M", ""), "$", ""),".",","),"K",""))))</f>
        <v>356.4</v>
      </c>
    </row>
    <row r="3" spans="1:17" x14ac:dyDescent="0.3">
      <c r="A3" s="4" t="str">
        <f>'Tabela de Filmes'!A3</f>
        <v>The Bikeriders</v>
      </c>
      <c r="B3" s="4" t="str">
        <f>'Tabela de Filmes'!B3</f>
        <v>Jun 21, 2024, Wide</v>
      </c>
      <c r="C3" s="4" t="str">
        <f>'Tabela de Filmes'!C3</f>
        <v>Drama</v>
      </c>
      <c r="D3" s="4" t="str">
        <f>'Tabela de Filmes'!D3</f>
        <v xml:space="preserve">Coming-of-age </v>
      </c>
      <c r="E3" s="4" t="str">
        <f>'Tabela de Filmes'!E3</f>
        <v>Jeff Nichols</v>
      </c>
      <c r="F3" s="6" t="str">
        <f>'Tabela de Filmes'!F3</f>
        <v>$9.7M</v>
      </c>
      <c r="G3" s="12">
        <f>VALUE('Tabela de Filmes'!G3)</f>
        <v>0.81</v>
      </c>
      <c r="H3" s="5" t="str">
        <f>'Tabela de Filmes'!H3</f>
        <v>74%</v>
      </c>
      <c r="I3" s="4" t="str">
        <f>'Tabela de Filmes'!I3</f>
        <v>186</v>
      </c>
      <c r="J3" s="4" t="str">
        <f>'Tabela de Filmes'!J3</f>
        <v>500</v>
      </c>
      <c r="K3" s="4">
        <f>DadosBrutos[[#This Row],[AVALIAÇÃO DOS CRÍTICOS (%)]]*10</f>
        <v>8.1000000000000014</v>
      </c>
      <c r="L3" s="4">
        <f>DadosBrutos[[#This Row],[AVALIAÇÃO DO PÚBLICO (%)]]*10</f>
        <v>7.4</v>
      </c>
      <c r="M3" s="6">
        <f>DadosBrutos[[#This Row],[QUANTIDADE DE AVALIAÇÕES CRIT.]]*DadosBrutos[[#This Row],[AVALIAÇÃO DOS CRÍTICOS (%)]]</f>
        <v>150.66</v>
      </c>
      <c r="N3" s="6">
        <f>DadosBrutos[[#This Row],[QUANTIDADE DE AVALIAÇÕES CRIT.]]-DadosBrutos[[#This Row],[Quant. avaliações positivas crit.]]</f>
        <v>35.340000000000003</v>
      </c>
      <c r="O3" s="6">
        <f>DadosBrutos[[#This Row],[QUANTIDADE DE AVALIAÇÕES PÚBLICO]]*DadosBrutos[[#This Row],[AVALIAÇÃO DO PÚBLICO (%)]]</f>
        <v>370</v>
      </c>
      <c r="P3" s="6">
        <f>DadosBrutos[[#This Row],[QUANTIDADE DE AVALIAÇÕES PÚBLICO]]-DadosBrutos[[#This Row],[Quant. avaliações positivas público]]</f>
        <v>130</v>
      </c>
      <c r="Q3" s="7">
        <f>VALUE(IF(DadosBrutos[[#This Row],[BILHETERIA]]="","0",VALUE(SUBSTITUTE(SUBSTITUTE(SUBSTITUTE(SUBSTITUTE(DadosBrutos[[#This Row],[BILHETERIA]], "M", ""), "$", ""),".",","),"K",""))))</f>
        <v>9.6999999999999993</v>
      </c>
    </row>
    <row r="4" spans="1:17" x14ac:dyDescent="0.3">
      <c r="A4" s="4" t="str">
        <f>'Tabela de Filmes'!A4</f>
        <v>Thelma</v>
      </c>
      <c r="B4" s="4" t="str">
        <f>'Tabela de Filmes'!B4</f>
        <v>Jun 21, 2024, Wide</v>
      </c>
      <c r="C4" s="4" t="str">
        <f>'Tabela de Filmes'!C4</f>
        <v>Action</v>
      </c>
      <c r="D4" s="4" t="str">
        <f>'Tabela de Filmes'!D4</f>
        <v>Rebel Without a Cause</v>
      </c>
      <c r="E4" s="4" t="str">
        <f>'Tabela de Filmes'!E4</f>
        <v>Josh Margolin</v>
      </c>
      <c r="F4" s="6" t="str">
        <f>'Tabela de Filmes'!F4</f>
        <v>$2.3M</v>
      </c>
      <c r="G4" s="12">
        <f>VALUE('Tabela de Filmes'!G4)</f>
        <v>0.99</v>
      </c>
      <c r="H4" s="5" t="str">
        <f>'Tabela de Filmes'!H4</f>
        <v>82%</v>
      </c>
      <c r="I4" s="4" t="str">
        <f>'Tabela de Filmes'!I4</f>
        <v>128</v>
      </c>
      <c r="J4" s="4" t="str">
        <f>'Tabela de Filmes'!J4</f>
        <v>100</v>
      </c>
      <c r="K4" s="4">
        <f>DadosBrutos[[#This Row],[AVALIAÇÃO DOS CRÍTICOS (%)]]*10</f>
        <v>9.9</v>
      </c>
      <c r="L4" s="4">
        <f>DadosBrutos[[#This Row],[AVALIAÇÃO DO PÚBLICO (%)]]*10</f>
        <v>8.1999999999999993</v>
      </c>
      <c r="M4" s="6">
        <f>DadosBrutos[[#This Row],[QUANTIDADE DE AVALIAÇÕES CRIT.]]*DadosBrutos[[#This Row],[AVALIAÇÃO DOS CRÍTICOS (%)]]</f>
        <v>126.72</v>
      </c>
      <c r="N4" s="6">
        <f>DadosBrutos[[#This Row],[QUANTIDADE DE AVALIAÇÕES CRIT.]]-DadosBrutos[[#This Row],[Quant. avaliações positivas crit.]]</f>
        <v>1.2800000000000011</v>
      </c>
      <c r="O4" s="6">
        <f>DadosBrutos[[#This Row],[QUANTIDADE DE AVALIAÇÕES PÚBLICO]]*DadosBrutos[[#This Row],[AVALIAÇÃO DO PÚBLICO (%)]]</f>
        <v>82</v>
      </c>
      <c r="P4" s="6">
        <f>DadosBrutos[[#This Row],[QUANTIDADE DE AVALIAÇÕES PÚBLICO]]-DadosBrutos[[#This Row],[Quant. avaliações positivas público]]</f>
        <v>18</v>
      </c>
      <c r="Q4" s="7">
        <f>VALUE(IF(DadosBrutos[[#This Row],[BILHETERIA]]="","0",VALUE(SUBSTITUTE(SUBSTITUTE(SUBSTITUTE(SUBSTITUTE(DadosBrutos[[#This Row],[BILHETERIA]], "M", ""), "$", ""),".",","),"K",""))))</f>
        <v>2.2999999999999998</v>
      </c>
    </row>
    <row r="5" spans="1:17" x14ac:dyDescent="0.3">
      <c r="A5" s="4" t="str">
        <f>'Tabela de Filmes'!A5</f>
        <v>IF</v>
      </c>
      <c r="B5" s="4" t="str">
        <f>'Tabela de Filmes'!B5</f>
        <v>May 17, 2024, Wide</v>
      </c>
      <c r="C5" s="4" t="str">
        <f>'Tabela de Filmes'!C5</f>
        <v>Fantasy</v>
      </c>
      <c r="D5" s="4" t="str">
        <f>'Tabela de Filmes'!D5</f>
        <v xml:space="preserve">Elderly action hero </v>
      </c>
      <c r="E5" s="4" t="str">
        <f>'Tabela de Filmes'!E5</f>
        <v>John Krasinski</v>
      </c>
      <c r="F5" s="6" t="str">
        <f>'Tabela de Filmes'!F5</f>
        <v>$106.6M</v>
      </c>
      <c r="G5" s="12">
        <f>VALUE('Tabela de Filmes'!G5)</f>
        <v>0.49</v>
      </c>
      <c r="H5" s="5" t="str">
        <f>'Tabela de Filmes'!H5</f>
        <v>88%</v>
      </c>
      <c r="I5" s="4" t="str">
        <f>'Tabela de Filmes'!I5</f>
        <v>193</v>
      </c>
      <c r="J5" s="4" t="str">
        <f>'Tabela de Filmes'!J5</f>
        <v>1000</v>
      </c>
      <c r="K5" s="4">
        <f>DadosBrutos[[#This Row],[AVALIAÇÃO DOS CRÍTICOS (%)]]*10</f>
        <v>4.9000000000000004</v>
      </c>
      <c r="L5" s="4">
        <f>DadosBrutos[[#This Row],[AVALIAÇÃO DO PÚBLICO (%)]]*10</f>
        <v>8.8000000000000007</v>
      </c>
      <c r="M5" s="6">
        <f>DadosBrutos[[#This Row],[QUANTIDADE DE AVALIAÇÕES CRIT.]]*DadosBrutos[[#This Row],[AVALIAÇÃO DOS CRÍTICOS (%)]]</f>
        <v>94.57</v>
      </c>
      <c r="N5" s="6">
        <f>DadosBrutos[[#This Row],[QUANTIDADE DE AVALIAÇÕES CRIT.]]-DadosBrutos[[#This Row],[Quant. avaliações positivas crit.]]</f>
        <v>98.43</v>
      </c>
      <c r="O5" s="6">
        <f>DadosBrutos[[#This Row],[QUANTIDADE DE AVALIAÇÕES PÚBLICO]]*DadosBrutos[[#This Row],[AVALIAÇÃO DO PÚBLICO (%)]]</f>
        <v>880</v>
      </c>
      <c r="P5" s="6">
        <f>DadosBrutos[[#This Row],[QUANTIDADE DE AVALIAÇÕES PÚBLICO]]-DadosBrutos[[#This Row],[Quant. avaliações positivas público]]</f>
        <v>120</v>
      </c>
      <c r="Q5" s="7">
        <f>VALUE(IF(DadosBrutos[[#This Row],[BILHETERIA]]="","0",VALUE(SUBSTITUTE(SUBSTITUTE(SUBSTITUTE(SUBSTITUTE(DadosBrutos[[#This Row],[BILHETERIA]], "M", ""), "$", ""),".",","),"K",""))))</f>
        <v>106.6</v>
      </c>
    </row>
    <row r="6" spans="1:17" x14ac:dyDescent="0.3">
      <c r="A6" s="4" t="str">
        <f>'Tabela de Filmes'!A6</f>
        <v>Kinds of Kindness</v>
      </c>
      <c r="B6" s="4" t="str">
        <f>'Tabela de Filmes'!B6</f>
        <v>Jun 21, 2024, Limited</v>
      </c>
      <c r="C6" s="4" t="str">
        <f>'Tabela de Filmes'!C6</f>
        <v>Drama</v>
      </c>
      <c r="D6" s="4" t="str">
        <f>'Tabela de Filmes'!D6</f>
        <v>The  is "rediscovering one's inner child".</v>
      </c>
      <c r="E6" s="4" t="str">
        <f>'Tabela de Filmes'!E6</f>
        <v>Yorgos Lanthimos</v>
      </c>
      <c r="F6" s="6" t="str">
        <f>'Tabela de Filmes'!F6</f>
        <v>$377.3K</v>
      </c>
      <c r="G6" s="12">
        <f>VALUE('Tabela de Filmes'!G6)</f>
        <v>0.75</v>
      </c>
      <c r="H6" s="5" t="str">
        <f>'Tabela de Filmes'!H6</f>
        <v>62%</v>
      </c>
      <c r="I6" s="4" t="str">
        <f>'Tabela de Filmes'!I6</f>
        <v>126</v>
      </c>
      <c r="J6" s="4" t="str">
        <f>'Tabela de Filmes'!J6</f>
        <v>50</v>
      </c>
      <c r="K6" s="4">
        <f>DadosBrutos[[#This Row],[AVALIAÇÃO DOS CRÍTICOS (%)]]*10</f>
        <v>7.5</v>
      </c>
      <c r="L6" s="4">
        <f>DadosBrutos[[#This Row],[AVALIAÇÃO DO PÚBLICO (%)]]*10</f>
        <v>6.2</v>
      </c>
      <c r="M6" s="6">
        <f>DadosBrutos[[#This Row],[QUANTIDADE DE AVALIAÇÕES CRIT.]]*DadosBrutos[[#This Row],[AVALIAÇÃO DOS CRÍTICOS (%)]]</f>
        <v>94.5</v>
      </c>
      <c r="N6" s="6">
        <f>DadosBrutos[[#This Row],[QUANTIDADE DE AVALIAÇÕES CRIT.]]-DadosBrutos[[#This Row],[Quant. avaliações positivas crit.]]</f>
        <v>31.5</v>
      </c>
      <c r="O6" s="6">
        <f>DadosBrutos[[#This Row],[QUANTIDADE DE AVALIAÇÕES PÚBLICO]]*DadosBrutos[[#This Row],[AVALIAÇÃO DO PÚBLICO (%)]]</f>
        <v>31</v>
      </c>
      <c r="P6" s="6">
        <f>DadosBrutos[[#This Row],[QUANTIDADE DE AVALIAÇÕES PÚBLICO]]-DadosBrutos[[#This Row],[Quant. avaliações positivas público]]</f>
        <v>19</v>
      </c>
      <c r="Q6" s="7">
        <f>VALUE(IF(DadosBrutos[[#This Row],[BILHETERIA]]="","0",VALUE(SUBSTITUTE(SUBSTITUTE(SUBSTITUTE(SUBSTITUTE(DadosBrutos[[#This Row],[BILHETERIA]], "M", ""), "$", ""),".",","),"K",""))))</f>
        <v>377.3</v>
      </c>
    </row>
    <row r="7" spans="1:17" x14ac:dyDescent="0.3">
      <c r="A7" s="4" t="str">
        <f>'Tabela de Filmes'!A7</f>
        <v>The Fall Guy</v>
      </c>
      <c r="B7" s="4" t="str">
        <f>'Tabela de Filmes'!B7</f>
        <v>May 3, 2024, Wide</v>
      </c>
      <c r="C7" s="4" t="str">
        <f>'Tabela de Filmes'!C7</f>
        <v>Drama</v>
      </c>
      <c r="D7" s="4" t="str">
        <f>'Tabela de Filmes'!D7</f>
        <v xml:space="preserve">The Anti-Hero </v>
      </c>
      <c r="E7" s="4" t="str">
        <f>'Tabela de Filmes'!E7</f>
        <v>David Leitch</v>
      </c>
      <c r="F7" s="6" t="str">
        <f>'Tabela de Filmes'!F7</f>
        <v>$90.0M</v>
      </c>
      <c r="G7" s="12">
        <f>VALUE('Tabela de Filmes'!G7)</f>
        <v>0.81</v>
      </c>
      <c r="H7" s="5" t="str">
        <f>'Tabela de Filmes'!H7</f>
        <v>86%</v>
      </c>
      <c r="I7" s="4" t="str">
        <f>'Tabela de Filmes'!I7</f>
        <v>346</v>
      </c>
      <c r="J7" s="4" t="str">
        <f>'Tabela de Filmes'!J7</f>
        <v>1000</v>
      </c>
      <c r="K7" s="4">
        <f>DadosBrutos[[#This Row],[AVALIAÇÃO DOS CRÍTICOS (%)]]*10</f>
        <v>8.1000000000000014</v>
      </c>
      <c r="L7" s="4">
        <f>DadosBrutos[[#This Row],[AVALIAÇÃO DO PÚBLICO (%)]]*10</f>
        <v>8.6</v>
      </c>
      <c r="M7" s="6">
        <f>DadosBrutos[[#This Row],[QUANTIDADE DE AVALIAÇÕES CRIT.]]*DadosBrutos[[#This Row],[AVALIAÇÃO DOS CRÍTICOS (%)]]</f>
        <v>280.26</v>
      </c>
      <c r="N7" s="6">
        <f>DadosBrutos[[#This Row],[QUANTIDADE DE AVALIAÇÕES CRIT.]]-DadosBrutos[[#This Row],[Quant. avaliações positivas crit.]]</f>
        <v>65.740000000000009</v>
      </c>
      <c r="O7" s="6">
        <f>DadosBrutos[[#This Row],[QUANTIDADE DE AVALIAÇÕES PÚBLICO]]*DadosBrutos[[#This Row],[AVALIAÇÃO DO PÚBLICO (%)]]</f>
        <v>860</v>
      </c>
      <c r="P7" s="6">
        <f>DadosBrutos[[#This Row],[QUANTIDADE DE AVALIAÇÕES PÚBLICO]]-DadosBrutos[[#This Row],[Quant. avaliações positivas público]]</f>
        <v>140</v>
      </c>
      <c r="Q7" s="7">
        <f>VALUE(IF(DadosBrutos[[#This Row],[BILHETERIA]]="","0",VALUE(SUBSTITUTE(SUBSTITUTE(SUBSTITUTE(SUBSTITUTE(DadosBrutos[[#This Row],[BILHETERIA]], "M", ""), "$", ""),".",","),"K",""))))</f>
        <v>90</v>
      </c>
    </row>
    <row r="8" spans="1:17" x14ac:dyDescent="0.3">
      <c r="A8" s="4" t="str">
        <f>'Tabela de Filmes'!A8</f>
        <v>Horizon: An American Saga - Chapter 1</v>
      </c>
      <c r="B8" s="4" t="str">
        <f>'Tabela de Filmes'!B8</f>
        <v>Jun 28, 2024, Wide</v>
      </c>
      <c r="C8" s="4" t="str">
        <f>'Tabela de Filmes'!C8</f>
        <v>Drama</v>
      </c>
      <c r="D8" s="4" t="str">
        <f>'Tabela de Filmes'!D8</f>
        <v>Action Hero</v>
      </c>
      <c r="E8" s="4" t="str">
        <f>'Tabela de Filmes'!E8</f>
        <v>Kevin Costner</v>
      </c>
      <c r="F8" s="6">
        <f>'Tabela de Filmes'!F8</f>
        <v>0</v>
      </c>
      <c r="G8" s="12">
        <f>VALUE('Tabela de Filmes'!G8)</f>
        <v>0.47</v>
      </c>
      <c r="H8" s="5">
        <f>'Tabela de Filmes'!H8</f>
        <v>0</v>
      </c>
      <c r="I8" s="4" t="str">
        <f>'Tabela de Filmes'!I8</f>
        <v>38</v>
      </c>
      <c r="J8" s="4">
        <f>'Tabela de Filmes'!J8</f>
        <v>0</v>
      </c>
      <c r="K8" s="4">
        <f>DadosBrutos[[#This Row],[AVALIAÇÃO DOS CRÍTICOS (%)]]*10</f>
        <v>4.6999999999999993</v>
      </c>
      <c r="L8" s="4">
        <f>DadosBrutos[[#This Row],[AVALIAÇÃO DO PÚBLICO (%)]]*10</f>
        <v>0</v>
      </c>
      <c r="M8" s="6">
        <f>DadosBrutos[[#This Row],[QUANTIDADE DE AVALIAÇÕES CRIT.]]*DadosBrutos[[#This Row],[AVALIAÇÃO DOS CRÍTICOS (%)]]</f>
        <v>17.86</v>
      </c>
      <c r="N8" s="6">
        <f>DadosBrutos[[#This Row],[QUANTIDADE DE AVALIAÇÕES CRIT.]]-DadosBrutos[[#This Row],[Quant. avaliações positivas crit.]]</f>
        <v>20.14</v>
      </c>
      <c r="O8" s="6">
        <f>DadosBrutos[[#This Row],[QUANTIDADE DE AVALIAÇÕES PÚBLICO]]*DadosBrutos[[#This Row],[AVALIAÇÃO DO PÚBLICO (%)]]</f>
        <v>0</v>
      </c>
      <c r="P8" s="6">
        <f>DadosBrutos[[#This Row],[QUANTIDADE DE AVALIAÇÕES PÚBLICO]]-DadosBrutos[[#This Row],[Quant. avaliações positivas público]]</f>
        <v>0</v>
      </c>
      <c r="Q8" s="7">
        <f>VALUE(IF(DadosBrutos[[#This Row],[BILHETERIA]]="","0",VALUE(SUBSTITUTE(SUBSTITUTE(SUBSTITUTE(SUBSTITUTE(DadosBrutos[[#This Row],[BILHETERIA]], "M", ""), "$", ""),".",","),"K",""))))</f>
        <v>0</v>
      </c>
    </row>
    <row r="9" spans="1:17" x14ac:dyDescent="0.3">
      <c r="A9" s="4" t="str">
        <f>'Tabela de Filmes'!A9</f>
        <v>Bad Boys: Ride or Die</v>
      </c>
      <c r="B9" s="4" t="str">
        <f>'Tabela de Filmes'!B9</f>
        <v>Jun 7, 2024, Wide</v>
      </c>
      <c r="C9" s="4" t="str">
        <f>'Tabela de Filmes'!C9</f>
        <v>Comedy</v>
      </c>
      <c r="D9" s="4" t="str">
        <f>'Tabela de Filmes'!D9</f>
        <v xml:space="preserve">"The Civil War Western" </v>
      </c>
      <c r="E9" s="4" t="str">
        <f>'Tabela de Filmes'!E9</f>
        <v>Bilall Fallah</v>
      </c>
      <c r="F9" s="6" t="str">
        <f>'Tabela de Filmes'!F9</f>
        <v>$147.0M</v>
      </c>
      <c r="G9" s="12">
        <f>VALUE('Tabela de Filmes'!G9)</f>
        <v>0.64</v>
      </c>
      <c r="H9" s="5" t="str">
        <f>'Tabela de Filmes'!H9</f>
        <v>97%</v>
      </c>
      <c r="I9" s="4" t="str">
        <f>'Tabela de Filmes'!I9</f>
        <v>222</v>
      </c>
      <c r="J9" s="4" t="str">
        <f>'Tabela de Filmes'!J9</f>
        <v>2500</v>
      </c>
      <c r="K9" s="4">
        <f>DadosBrutos[[#This Row],[AVALIAÇÃO DOS CRÍTICOS (%)]]*10</f>
        <v>6.4</v>
      </c>
      <c r="L9" s="4">
        <f>DadosBrutos[[#This Row],[AVALIAÇÃO DO PÚBLICO (%)]]*10</f>
        <v>9.6999999999999993</v>
      </c>
      <c r="M9" s="6">
        <f>DadosBrutos[[#This Row],[QUANTIDADE DE AVALIAÇÕES CRIT.]]*DadosBrutos[[#This Row],[AVALIAÇÃO DOS CRÍTICOS (%)]]</f>
        <v>142.08000000000001</v>
      </c>
      <c r="N9" s="6">
        <f>DadosBrutos[[#This Row],[QUANTIDADE DE AVALIAÇÕES CRIT.]]-DadosBrutos[[#This Row],[Quant. avaliações positivas crit.]]</f>
        <v>79.919999999999987</v>
      </c>
      <c r="O9" s="6">
        <f>DadosBrutos[[#This Row],[QUANTIDADE DE AVALIAÇÕES PÚBLICO]]*DadosBrutos[[#This Row],[AVALIAÇÃO DO PÚBLICO (%)]]</f>
        <v>2425</v>
      </c>
      <c r="P9" s="6">
        <f>DadosBrutos[[#This Row],[QUANTIDADE DE AVALIAÇÕES PÚBLICO]]-DadosBrutos[[#This Row],[Quant. avaliações positivas público]]</f>
        <v>75</v>
      </c>
      <c r="Q9" s="7">
        <f>VALUE(IF(DadosBrutos[[#This Row],[BILHETERIA]]="","0",VALUE(SUBSTITUTE(SUBSTITUTE(SUBSTITUTE(SUBSTITUTE(DadosBrutos[[#This Row],[BILHETERIA]], "M", ""), "$", ""),".",","),"K",""))))</f>
        <v>147</v>
      </c>
    </row>
    <row r="10" spans="1:17" x14ac:dyDescent="0.3">
      <c r="A10" s="4" t="str">
        <f>'Tabela de Filmes'!A10</f>
        <v>I Saw the TV Glow</v>
      </c>
      <c r="B10" s="4" t="str">
        <f>'Tabela de Filmes'!B10</f>
        <v>May 17, 2024, Wide</v>
      </c>
      <c r="C10" s="4" t="str">
        <f>'Tabela de Filmes'!C10</f>
        <v>Mystery &amp; Thriller</v>
      </c>
      <c r="D10" s="4" t="str">
        <f>'Tabela de Filmes'!D10</f>
        <v xml:space="preserve">Buddy Cop </v>
      </c>
      <c r="E10" s="4" t="str">
        <f>'Tabela de Filmes'!E10</f>
        <v>Jane Schoenbrun</v>
      </c>
      <c r="F10" s="6" t="str">
        <f>'Tabela de Filmes'!F10</f>
        <v>$4.5M</v>
      </c>
      <c r="G10" s="12">
        <f>VALUE('Tabela de Filmes'!G10)</f>
        <v>0.85</v>
      </c>
      <c r="H10" s="5" t="str">
        <f>'Tabela de Filmes'!H10</f>
        <v>71%</v>
      </c>
      <c r="I10" s="4" t="str">
        <f>'Tabela de Filmes'!I10</f>
        <v>176</v>
      </c>
      <c r="J10" s="4" t="str">
        <f>'Tabela de Filmes'!J10</f>
        <v>100</v>
      </c>
      <c r="K10" s="4">
        <f>DadosBrutos[[#This Row],[AVALIAÇÃO DOS CRÍTICOS (%)]]*10</f>
        <v>8.5</v>
      </c>
      <c r="L10" s="4">
        <f>DadosBrutos[[#This Row],[AVALIAÇÃO DO PÚBLICO (%)]]*10</f>
        <v>7.1</v>
      </c>
      <c r="M10" s="6">
        <f>DadosBrutos[[#This Row],[QUANTIDADE DE AVALIAÇÕES CRIT.]]*DadosBrutos[[#This Row],[AVALIAÇÃO DOS CRÍTICOS (%)]]</f>
        <v>149.6</v>
      </c>
      <c r="N10" s="6">
        <f>DadosBrutos[[#This Row],[QUANTIDADE DE AVALIAÇÕES CRIT.]]-DadosBrutos[[#This Row],[Quant. avaliações positivas crit.]]</f>
        <v>26.400000000000006</v>
      </c>
      <c r="O10" s="6">
        <f>DadosBrutos[[#This Row],[QUANTIDADE DE AVALIAÇÕES PÚBLICO]]*DadosBrutos[[#This Row],[AVALIAÇÃO DO PÚBLICO (%)]]</f>
        <v>71</v>
      </c>
      <c r="P10" s="6">
        <f>DadosBrutos[[#This Row],[QUANTIDADE DE AVALIAÇÕES PÚBLICO]]-DadosBrutos[[#This Row],[Quant. avaliações positivas público]]</f>
        <v>29</v>
      </c>
      <c r="Q10" s="7">
        <f>VALUE(IF(DadosBrutos[[#This Row],[BILHETERIA]]="","0",VALUE(SUBSTITUTE(SUBSTITUTE(SUBSTITUTE(SUBSTITUTE(DadosBrutos[[#This Row],[BILHETERIA]], "M", ""), "$", ""),".",","),"K",""))))</f>
        <v>4.5</v>
      </c>
    </row>
    <row r="11" spans="1:17" x14ac:dyDescent="0.3">
      <c r="A11" s="4" t="str">
        <f>'Tabela de Filmes'!A11</f>
        <v>Furiosa: A Mad Max Saga</v>
      </c>
      <c r="B11" s="4" t="str">
        <f>'Tabela de Filmes'!B11</f>
        <v>May 24, 2024, Wide</v>
      </c>
      <c r="C11" s="4" t="str">
        <f>'Tabela de Filmes'!C11</f>
        <v>Sci-Fi</v>
      </c>
      <c r="D11" s="4" t="str">
        <f>'Tabela de Filmes'!D11</f>
        <v xml:space="preserve">Trapped in TV Land </v>
      </c>
      <c r="E11" s="4" t="str">
        <f>'Tabela de Filmes'!E11</f>
        <v>George Miller</v>
      </c>
      <c r="F11" s="6" t="str">
        <f>'Tabela de Filmes'!F11</f>
        <v>$66.1M</v>
      </c>
      <c r="G11" s="12">
        <f>VALUE('Tabela de Filmes'!G11)</f>
        <v>0.9</v>
      </c>
      <c r="H11" s="5" t="str">
        <f>'Tabela de Filmes'!H11</f>
        <v>89%</v>
      </c>
      <c r="I11" s="4" t="str">
        <f>'Tabela de Filmes'!I11</f>
        <v>379</v>
      </c>
      <c r="J11" s="4" t="str">
        <f>'Tabela de Filmes'!J11</f>
        <v>1000</v>
      </c>
      <c r="K11" s="4">
        <f>DadosBrutos[[#This Row],[AVALIAÇÃO DOS CRÍTICOS (%)]]*10</f>
        <v>9</v>
      </c>
      <c r="L11" s="4">
        <f>DadosBrutos[[#This Row],[AVALIAÇÃO DO PÚBLICO (%)]]*10</f>
        <v>8.9</v>
      </c>
      <c r="M11" s="6">
        <f>DadosBrutos[[#This Row],[QUANTIDADE DE AVALIAÇÕES CRIT.]]*DadosBrutos[[#This Row],[AVALIAÇÃO DOS CRÍTICOS (%)]]</f>
        <v>341.1</v>
      </c>
      <c r="N11" s="6">
        <f>DadosBrutos[[#This Row],[QUANTIDADE DE AVALIAÇÕES CRIT.]]-DadosBrutos[[#This Row],[Quant. avaliações positivas crit.]]</f>
        <v>37.899999999999977</v>
      </c>
      <c r="O11" s="6">
        <f>DadosBrutos[[#This Row],[QUANTIDADE DE AVALIAÇÕES PÚBLICO]]*DadosBrutos[[#This Row],[AVALIAÇÃO DO PÚBLICO (%)]]</f>
        <v>890</v>
      </c>
      <c r="P11" s="6">
        <f>DadosBrutos[[#This Row],[QUANTIDADE DE AVALIAÇÕES PÚBLICO]]-DadosBrutos[[#This Row],[Quant. avaliações positivas público]]</f>
        <v>110</v>
      </c>
      <c r="Q11" s="7">
        <f>VALUE(IF(DadosBrutos[[#This Row],[BILHETERIA]]="","0",VALUE(SUBSTITUTE(SUBSTITUTE(SUBSTITUTE(SUBSTITUTE(DadosBrutos[[#This Row],[BILHETERIA]], "M", ""), "$", ""),".",","),"K",""))))</f>
        <v>66.099999999999994</v>
      </c>
    </row>
    <row r="12" spans="1:17" x14ac:dyDescent="0.3">
      <c r="A12" s="4" t="str">
        <f>'Tabela de Filmes'!A12</f>
        <v>The Exorcism</v>
      </c>
      <c r="B12" s="4" t="str">
        <f>'Tabela de Filmes'!B12</f>
        <v>Jun 21, 2024, Wide</v>
      </c>
      <c r="C12" s="4" t="str">
        <f>'Tabela de Filmes'!C12</f>
        <v>Mystery &amp; Thriller</v>
      </c>
      <c r="D12" s="4" t="str">
        <f>'Tabela de Filmes'!D12</f>
        <v>Hero's Journey</v>
      </c>
      <c r="E12" s="4" t="str">
        <f>'Tabela de Filmes'!E12</f>
        <v>Joshua John Miller</v>
      </c>
      <c r="F12" s="6" t="str">
        <f>'Tabela de Filmes'!F12</f>
        <v>$2.5M</v>
      </c>
      <c r="G12" s="12">
        <f>VALUE('Tabela de Filmes'!G12)</f>
        <v>0.28000000000000003</v>
      </c>
      <c r="H12" s="5" t="str">
        <f>'Tabela de Filmes'!H12</f>
        <v>36%</v>
      </c>
      <c r="I12" s="4" t="str">
        <f>'Tabela de Filmes'!I12</f>
        <v>89</v>
      </c>
      <c r="J12" s="4" t="str">
        <f>'Tabela de Filmes'!J12</f>
        <v>50</v>
      </c>
      <c r="K12" s="4">
        <f>DadosBrutos[[#This Row],[AVALIAÇÃO DOS CRÍTICOS (%)]]*10</f>
        <v>2.8000000000000003</v>
      </c>
      <c r="L12" s="4">
        <f>DadosBrutos[[#This Row],[AVALIAÇÃO DO PÚBLICO (%)]]*10</f>
        <v>3.5999999999999996</v>
      </c>
      <c r="M12" s="6">
        <f>DadosBrutos[[#This Row],[QUANTIDADE DE AVALIAÇÕES CRIT.]]*DadosBrutos[[#This Row],[AVALIAÇÃO DOS CRÍTICOS (%)]]</f>
        <v>24.92</v>
      </c>
      <c r="N12" s="6">
        <f>DadosBrutos[[#This Row],[QUANTIDADE DE AVALIAÇÕES CRIT.]]-DadosBrutos[[#This Row],[Quant. avaliações positivas crit.]]</f>
        <v>64.08</v>
      </c>
      <c r="O12" s="6">
        <f>DadosBrutos[[#This Row],[QUANTIDADE DE AVALIAÇÕES PÚBLICO]]*DadosBrutos[[#This Row],[AVALIAÇÃO DO PÚBLICO (%)]]</f>
        <v>18</v>
      </c>
      <c r="P12" s="6">
        <f>DadosBrutos[[#This Row],[QUANTIDADE DE AVALIAÇÕES PÚBLICO]]-DadosBrutos[[#This Row],[Quant. avaliações positivas público]]</f>
        <v>32</v>
      </c>
      <c r="Q12" s="7">
        <f>VALUE(IF(DadosBrutos[[#This Row],[BILHETERIA]]="","0",VALUE(SUBSTITUTE(SUBSTITUTE(SUBSTITUTE(SUBSTITUTE(DadosBrutos[[#This Row],[BILHETERIA]], "M", ""), "$", ""),".",","),"K",""))))</f>
        <v>2.5</v>
      </c>
    </row>
    <row r="13" spans="1:17" x14ac:dyDescent="0.3">
      <c r="A13" s="4" t="str">
        <f>'Tabela de Filmes'!A13</f>
        <v>A Quiet Place: Day One</v>
      </c>
      <c r="B13" s="4" t="str">
        <f>'Tabela de Filmes'!B13</f>
        <v>Jun 28, 2024, Wide</v>
      </c>
      <c r="C13" s="4" t="str">
        <f>'Tabela de Filmes'!C13</f>
        <v>Mystery &amp; Thriller</v>
      </c>
      <c r="D13" s="4" t="str">
        <f>'Tabela de Filmes'!D13</f>
        <v xml:space="preserve">"Metafiction" or "metatextual riff" </v>
      </c>
      <c r="E13" s="4" t="str">
        <f>'Tabela de Filmes'!E13</f>
        <v>Michael Sarnoski</v>
      </c>
      <c r="F13" s="6">
        <f>'Tabela de Filmes'!F13</f>
        <v>0</v>
      </c>
      <c r="G13" s="12">
        <f>VALUE('Tabela de Filmes'!G13)</f>
        <v>0</v>
      </c>
      <c r="H13" s="5">
        <f>'Tabela de Filmes'!H13</f>
        <v>0</v>
      </c>
      <c r="I13" s="4">
        <f>'Tabela de Filmes'!I13</f>
        <v>0</v>
      </c>
      <c r="J13" s="4">
        <f>'Tabela de Filmes'!J13</f>
        <v>0</v>
      </c>
      <c r="K13" s="4">
        <f>DadosBrutos[[#This Row],[AVALIAÇÃO DOS CRÍTICOS (%)]]*10</f>
        <v>0</v>
      </c>
      <c r="L13" s="4">
        <f>DadosBrutos[[#This Row],[AVALIAÇÃO DO PÚBLICO (%)]]*10</f>
        <v>0</v>
      </c>
      <c r="M13" s="6">
        <f>DadosBrutos[[#This Row],[QUANTIDADE DE AVALIAÇÕES CRIT.]]*DadosBrutos[[#This Row],[AVALIAÇÃO DOS CRÍTICOS (%)]]</f>
        <v>0</v>
      </c>
      <c r="N13" s="6">
        <f>DadosBrutos[[#This Row],[QUANTIDADE DE AVALIAÇÕES CRIT.]]-DadosBrutos[[#This Row],[Quant. avaliações positivas crit.]]</f>
        <v>0</v>
      </c>
      <c r="O13" s="6">
        <f>DadosBrutos[[#This Row],[QUANTIDADE DE AVALIAÇÕES PÚBLICO]]*DadosBrutos[[#This Row],[AVALIAÇÃO DO PÚBLICO (%)]]</f>
        <v>0</v>
      </c>
      <c r="P13" s="6">
        <f>DadosBrutos[[#This Row],[QUANTIDADE DE AVALIAÇÕES PÚBLICO]]-DadosBrutos[[#This Row],[Quant. avaliações positivas público]]</f>
        <v>0</v>
      </c>
      <c r="Q13" s="7">
        <f>VALUE(IF(DadosBrutos[[#This Row],[BILHETERIA]]="","0",VALUE(SUBSTITUTE(SUBSTITUTE(SUBSTITUTE(SUBSTITUTE(DadosBrutos[[#This Row],[BILHETERIA]], "M", ""), "$", ""),".",","),"K",""))))</f>
        <v>0</v>
      </c>
    </row>
    <row r="14" spans="1:17" x14ac:dyDescent="0.3">
      <c r="A14" s="10" t="str">
        <f>'Tabela de Filmes'!A14</f>
        <v>The Watchers</v>
      </c>
      <c r="B14" s="4" t="str">
        <f>'Tabela de Filmes'!B14</f>
        <v>Jun 7, 2024, Wide</v>
      </c>
      <c r="C14" s="4" t="str">
        <f>'Tabela de Filmes'!C14</f>
        <v>Mystery &amp; Thriller</v>
      </c>
      <c r="D14" s="4" t="str">
        <f>'Tabela de Filmes'!D14</f>
        <v xml:space="preserve">Apocalyptic/post-apocalyptic </v>
      </c>
      <c r="E14" s="4" t="str">
        <f>'Tabela de Filmes'!E14</f>
        <v>Ishana Shyamalan</v>
      </c>
      <c r="F14" s="6" t="str">
        <f>'Tabela de Filmes'!F14</f>
        <v>$17.7M</v>
      </c>
      <c r="G14" s="12">
        <f>VALUE('Tabela de Filmes'!G14)</f>
        <v>0.31</v>
      </c>
      <c r="H14" s="5" t="str">
        <f>'Tabela de Filmes'!H14</f>
        <v>52%</v>
      </c>
      <c r="I14" s="4" t="str">
        <f>'Tabela de Filmes'!I14</f>
        <v>157</v>
      </c>
      <c r="J14" s="4" t="str">
        <f>'Tabela de Filmes'!J14</f>
        <v>250</v>
      </c>
      <c r="K14" s="10">
        <f>DadosBrutos[[#This Row],[AVALIAÇÃO DOS CRÍTICOS (%)]]*10</f>
        <v>3.1</v>
      </c>
      <c r="L14" s="10">
        <f>DadosBrutos[[#This Row],[AVALIAÇÃO DO PÚBLICO (%)]]*10</f>
        <v>5.2</v>
      </c>
      <c r="M14" s="6">
        <f>DadosBrutos[[#This Row],[QUANTIDADE DE AVALIAÇÕES CRIT.]]*DadosBrutos[[#This Row],[AVALIAÇÃO DOS CRÍTICOS (%)]]</f>
        <v>48.67</v>
      </c>
      <c r="N14" s="6">
        <f>DadosBrutos[[#This Row],[QUANTIDADE DE AVALIAÇÕES CRIT.]]-DadosBrutos[[#This Row],[Quant. avaliações positivas crit.]]</f>
        <v>108.33</v>
      </c>
      <c r="O14" s="6">
        <f>DadosBrutos[[#This Row],[QUANTIDADE DE AVALIAÇÕES PÚBLICO]]*DadosBrutos[[#This Row],[AVALIAÇÃO DO PÚBLICO (%)]]</f>
        <v>130</v>
      </c>
      <c r="P14" s="6">
        <f>DadosBrutos[[#This Row],[QUANTIDADE DE AVALIAÇÕES PÚBLICO]]-DadosBrutos[[#This Row],[Quant. avaliações positivas público]]</f>
        <v>120</v>
      </c>
      <c r="Q14" s="7">
        <f>VALUE(IF(DadosBrutos[[#This Row],[BILHETERIA]]="","0",VALUE(SUBSTITUTE(SUBSTITUTE(SUBSTITUTE(SUBSTITUTE(DadosBrutos[[#This Row],[BILHETERIA]], "M", ""), "$", ""),".",","),"K",""))))</f>
        <v>17.7</v>
      </c>
    </row>
    <row r="15" spans="1:17" x14ac:dyDescent="0.3">
      <c r="A15" s="10" t="str">
        <f>'Tabela de Filmes'!A15</f>
        <v>Kingdom of the Planet of the Apes</v>
      </c>
      <c r="B15" s="4" t="str">
        <f>'Tabela de Filmes'!B15</f>
        <v>May 10, 2024, Wide</v>
      </c>
      <c r="C15" s="4" t="str">
        <f>'Tabela de Filmes'!C15</f>
        <v>Adventure</v>
      </c>
      <c r="D15" s="4" t="str">
        <f>'Tabela de Filmes'!D15</f>
        <v>Survival horror</v>
      </c>
      <c r="E15" s="4" t="str">
        <f>'Tabela de Filmes'!E15</f>
        <v>Wes Ball</v>
      </c>
      <c r="F15" s="6" t="str">
        <f>'Tabela de Filmes'!F15</f>
        <v>$164.6M</v>
      </c>
      <c r="G15" s="12">
        <f>VALUE('Tabela de Filmes'!G15)</f>
        <v>0.8</v>
      </c>
      <c r="H15" s="5" t="str">
        <f>'Tabela de Filmes'!H15</f>
        <v>78%</v>
      </c>
      <c r="I15" s="4" t="str">
        <f>'Tabela de Filmes'!I15</f>
        <v>301</v>
      </c>
      <c r="J15" s="4" t="str">
        <f>'Tabela de Filmes'!J15</f>
        <v>2500</v>
      </c>
      <c r="K15" s="10">
        <f>DadosBrutos[[#This Row],[AVALIAÇÃO DOS CRÍTICOS (%)]]*10</f>
        <v>8</v>
      </c>
      <c r="L15" s="10">
        <f>DadosBrutos[[#This Row],[AVALIAÇÃO DO PÚBLICO (%)]]*10</f>
        <v>7.8000000000000007</v>
      </c>
      <c r="M15" s="6">
        <f>DadosBrutos[[#This Row],[QUANTIDADE DE AVALIAÇÕES CRIT.]]*DadosBrutos[[#This Row],[AVALIAÇÃO DOS CRÍTICOS (%)]]</f>
        <v>240.8</v>
      </c>
      <c r="N15" s="6">
        <f>DadosBrutos[[#This Row],[QUANTIDADE DE AVALIAÇÕES CRIT.]]-DadosBrutos[[#This Row],[Quant. avaliações positivas crit.]]</f>
        <v>60.199999999999989</v>
      </c>
      <c r="O15" s="6">
        <f>DadosBrutos[[#This Row],[QUANTIDADE DE AVALIAÇÕES PÚBLICO]]*DadosBrutos[[#This Row],[AVALIAÇÃO DO PÚBLICO (%)]]</f>
        <v>1950</v>
      </c>
      <c r="P15" s="6">
        <f>DadosBrutos[[#This Row],[QUANTIDADE DE AVALIAÇÕES PÚBLICO]]-DadosBrutos[[#This Row],[Quant. avaliações positivas público]]</f>
        <v>550</v>
      </c>
      <c r="Q15" s="7">
        <f>VALUE(IF(DadosBrutos[[#This Row],[BILHETERIA]]="","0",VALUE(SUBSTITUTE(SUBSTITUTE(SUBSTITUTE(SUBSTITUTE(DadosBrutos[[#This Row],[BILHETERIA]], "M", ""), "$", ""),".",","),"K",""))))</f>
        <v>164.6</v>
      </c>
    </row>
    <row r="16" spans="1:17" x14ac:dyDescent="0.3">
      <c r="A16" s="10" t="str">
        <f>'Tabela de Filmes'!A16</f>
        <v>I Used to be Funny</v>
      </c>
      <c r="B16" s="4" t="str">
        <f>'Tabela de Filmes'!B16</f>
        <v>Jun 7, 2024, Limited</v>
      </c>
      <c r="C16" s="4" t="str">
        <f>'Tabela de Filmes'!C16</f>
        <v>Drama</v>
      </c>
      <c r="D16" s="4" t="str">
        <f>'Tabela de Filmes'!D16</f>
        <v>Rise of the Planet of the Apes</v>
      </c>
      <c r="E16" s="4" t="str">
        <f>'Tabela de Filmes'!E16</f>
        <v>Ally Pankiw</v>
      </c>
      <c r="F16" s="6" t="str">
        <f>'Tabela de Filmes'!F16</f>
        <v>$142.4K</v>
      </c>
      <c r="G16" s="12">
        <f>VALUE('Tabela de Filmes'!G16)</f>
        <v>0.83</v>
      </c>
      <c r="H16" s="5" t="str">
        <f>'Tabela de Filmes'!H16</f>
        <v>78%</v>
      </c>
      <c r="I16" s="4" t="str">
        <f>'Tabela de Filmes'!I16</f>
        <v>47</v>
      </c>
      <c r="J16" s="4" t="str">
        <f>'Tabela de Filmes'!J16</f>
        <v>50</v>
      </c>
      <c r="K16" s="10">
        <f>DadosBrutos[[#This Row],[AVALIAÇÃO DOS CRÍTICOS (%)]]*10</f>
        <v>8.2999999999999989</v>
      </c>
      <c r="L16" s="10">
        <f>DadosBrutos[[#This Row],[AVALIAÇÃO DO PÚBLICO (%)]]*10</f>
        <v>7.8000000000000007</v>
      </c>
      <c r="M16" s="6">
        <f>DadosBrutos[[#This Row],[QUANTIDADE DE AVALIAÇÕES CRIT.]]*DadosBrutos[[#This Row],[AVALIAÇÃO DOS CRÍTICOS (%)]]</f>
        <v>39.01</v>
      </c>
      <c r="N16" s="6">
        <f>DadosBrutos[[#This Row],[QUANTIDADE DE AVALIAÇÕES CRIT.]]-DadosBrutos[[#This Row],[Quant. avaliações positivas crit.]]</f>
        <v>7.990000000000002</v>
      </c>
      <c r="O16" s="6">
        <f>DadosBrutos[[#This Row],[QUANTIDADE DE AVALIAÇÕES PÚBLICO]]*DadosBrutos[[#This Row],[AVALIAÇÃO DO PÚBLICO (%)]]</f>
        <v>39</v>
      </c>
      <c r="P16" s="6">
        <f>DadosBrutos[[#This Row],[QUANTIDADE DE AVALIAÇÕES PÚBLICO]]-DadosBrutos[[#This Row],[Quant. avaliações positivas público]]</f>
        <v>11</v>
      </c>
      <c r="Q16" s="7">
        <f>VALUE(IF(DadosBrutos[[#This Row],[BILHETERIA]]="","0",VALUE(SUBSTITUTE(SUBSTITUTE(SUBSTITUTE(SUBSTITUTE(DadosBrutos[[#This Row],[BILHETERIA]], "M", ""), "$", ""),".",","),"K",""))))</f>
        <v>142.4</v>
      </c>
    </row>
    <row r="17" spans="1:17" x14ac:dyDescent="0.3">
      <c r="A17" s="10" t="str">
        <f>'Tabela de Filmes'!A17</f>
        <v>The Beast</v>
      </c>
      <c r="B17" s="4" t="str">
        <f>'Tabela de Filmes'!B17</f>
        <v>Apr 5, 2024, Limited</v>
      </c>
      <c r="C17" s="4" t="str">
        <f>'Tabela de Filmes'!C17</f>
        <v>Sci-Fi</v>
      </c>
      <c r="D17" s="4" t="str">
        <f>'Tabela de Filmes'!D17</f>
        <v>Dramedy</v>
      </c>
      <c r="E17" s="4" t="str">
        <f>'Tabela de Filmes'!E17</f>
        <v>Bertrand Bonello</v>
      </c>
      <c r="F17" s="6" t="str">
        <f>'Tabela de Filmes'!F17</f>
        <v>$410.8K</v>
      </c>
      <c r="G17" s="12">
        <f>VALUE('Tabela de Filmes'!G17)</f>
        <v>0.86</v>
      </c>
      <c r="H17" s="5" t="str">
        <f>'Tabela de Filmes'!H17</f>
        <v>62%</v>
      </c>
      <c r="I17" s="4" t="str">
        <f>'Tabela de Filmes'!I17</f>
        <v>124</v>
      </c>
      <c r="J17" s="4" t="str">
        <f>'Tabela de Filmes'!J17</f>
        <v>50</v>
      </c>
      <c r="K17" s="10">
        <f>DadosBrutos[[#This Row],[AVALIAÇÃO DOS CRÍTICOS (%)]]*10</f>
        <v>8.6</v>
      </c>
      <c r="L17" s="10">
        <f>DadosBrutos[[#This Row],[AVALIAÇÃO DO PÚBLICO (%)]]*10</f>
        <v>6.2</v>
      </c>
      <c r="M17" s="6">
        <f>DadosBrutos[[#This Row],[QUANTIDADE DE AVALIAÇÕES CRIT.]]*DadosBrutos[[#This Row],[AVALIAÇÃO DOS CRÍTICOS (%)]]</f>
        <v>106.64</v>
      </c>
      <c r="N17" s="6">
        <f>DadosBrutos[[#This Row],[QUANTIDADE DE AVALIAÇÕES CRIT.]]-DadosBrutos[[#This Row],[Quant. avaliações positivas crit.]]</f>
        <v>17.36</v>
      </c>
      <c r="O17" s="6">
        <f>DadosBrutos[[#This Row],[QUANTIDADE DE AVALIAÇÕES PÚBLICO]]*DadosBrutos[[#This Row],[AVALIAÇÃO DO PÚBLICO (%)]]</f>
        <v>31</v>
      </c>
      <c r="P17" s="6">
        <f>DadosBrutos[[#This Row],[QUANTIDADE DE AVALIAÇÕES PÚBLICO]]-DadosBrutos[[#This Row],[Quant. avaliações positivas público]]</f>
        <v>19</v>
      </c>
      <c r="Q17" s="7">
        <f>VALUE(IF(DadosBrutos[[#This Row],[BILHETERIA]]="","0",VALUE(SUBSTITUTE(SUBSTITUTE(SUBSTITUTE(SUBSTITUTE(DadosBrutos[[#This Row],[BILHETERIA]], "M", ""), "$", ""),".",","),"K",""))))</f>
        <v>410.8</v>
      </c>
    </row>
    <row r="18" spans="1:17" x14ac:dyDescent="0.3">
      <c r="A18" s="10" t="str">
        <f>'Tabela de Filmes'!A18</f>
        <v>Ghostlight</v>
      </c>
      <c r="B18" s="4" t="str">
        <f>'Tabela de Filmes'!B18</f>
        <v>Jun 14, 2024, Limited</v>
      </c>
      <c r="C18" s="4" t="str">
        <f>'Tabela de Filmes'!C18</f>
        <v>Drama</v>
      </c>
      <c r="D18" s="4" t="str">
        <f>'Tabela de Filmes'!D18</f>
        <v>Reincarnation .</v>
      </c>
      <c r="E18" s="4" t="str">
        <f>'Tabela de Filmes'!E18</f>
        <v>Alex Thompson</v>
      </c>
      <c r="F18" s="6" t="str">
        <f>'Tabela de Filmes'!F18</f>
        <v>$314.3K</v>
      </c>
      <c r="G18" s="12">
        <f>VALUE('Tabela de Filmes'!G18)</f>
        <v>1</v>
      </c>
      <c r="H18" s="5" t="str">
        <f>'Tabela de Filmes'!H18</f>
        <v>96%</v>
      </c>
      <c r="I18" s="4" t="str">
        <f>'Tabela de Filmes'!I18</f>
        <v>70</v>
      </c>
      <c r="J18" s="4" t="str">
        <f>'Tabela de Filmes'!J18</f>
        <v>50</v>
      </c>
      <c r="K18" s="10">
        <f>DadosBrutos[[#This Row],[AVALIAÇÃO DOS CRÍTICOS (%)]]*10</f>
        <v>10</v>
      </c>
      <c r="L18" s="10">
        <f>DadosBrutos[[#This Row],[AVALIAÇÃO DO PÚBLICO (%)]]*10</f>
        <v>9.6</v>
      </c>
      <c r="M18" s="6">
        <f>DadosBrutos[[#This Row],[QUANTIDADE DE AVALIAÇÕES CRIT.]]*DadosBrutos[[#This Row],[AVALIAÇÃO DOS CRÍTICOS (%)]]</f>
        <v>70</v>
      </c>
      <c r="N18" s="6">
        <f>DadosBrutos[[#This Row],[QUANTIDADE DE AVALIAÇÕES CRIT.]]-DadosBrutos[[#This Row],[Quant. avaliações positivas crit.]]</f>
        <v>0</v>
      </c>
      <c r="O18" s="6">
        <f>DadosBrutos[[#This Row],[QUANTIDADE DE AVALIAÇÕES PÚBLICO]]*DadosBrutos[[#This Row],[AVALIAÇÃO DO PÚBLICO (%)]]</f>
        <v>48</v>
      </c>
      <c r="P18" s="6">
        <f>DadosBrutos[[#This Row],[QUANTIDADE DE AVALIAÇÕES PÚBLICO]]-DadosBrutos[[#This Row],[Quant. avaliações positivas público]]</f>
        <v>2</v>
      </c>
      <c r="Q18" s="7">
        <f>VALUE(IF(DadosBrutos[[#This Row],[BILHETERIA]]="","0",VALUE(SUBSTITUTE(SUBSTITUTE(SUBSTITUTE(SUBSTITUTE(DadosBrutos[[#This Row],[BILHETERIA]], "M", ""), "$", ""),".",","),"K",""))))</f>
        <v>314.3</v>
      </c>
    </row>
    <row r="19" spans="1:17" x14ac:dyDescent="0.3">
      <c r="A19" s="10" t="str">
        <f>'Tabela de Filmes'!A19</f>
        <v>The Garfield Movie</v>
      </c>
      <c r="B19" s="4" t="str">
        <f>'Tabela de Filmes'!B19</f>
        <v>May 24, 2024, Wide</v>
      </c>
      <c r="C19" s="4" t="str">
        <f>'Tabela de Filmes'!C19</f>
        <v>Animation</v>
      </c>
      <c r="D19" s="4" t="str">
        <f>'Tabela de Filmes'!D19</f>
        <v>Drama</v>
      </c>
      <c r="E19" s="4" t="str">
        <f>'Tabela de Filmes'!E19</f>
        <v>Mark Dindal</v>
      </c>
      <c r="F19" s="6" t="str">
        <f>'Tabela de Filmes'!F19</f>
        <v>$85.3M</v>
      </c>
      <c r="G19" s="12">
        <f>VALUE('Tabela de Filmes'!G19)</f>
        <v>0.36</v>
      </c>
      <c r="H19" s="5" t="str">
        <f>'Tabela de Filmes'!H19</f>
        <v>80%</v>
      </c>
      <c r="I19" s="4" t="str">
        <f>'Tabela de Filmes'!I19</f>
        <v>129</v>
      </c>
      <c r="J19" s="4" t="str">
        <f>'Tabela de Filmes'!J19</f>
        <v>1000</v>
      </c>
      <c r="K19" s="10">
        <f>DadosBrutos[[#This Row],[AVALIAÇÃO DOS CRÍTICOS (%)]]*10</f>
        <v>3.5999999999999996</v>
      </c>
      <c r="L19" s="10">
        <f>DadosBrutos[[#This Row],[AVALIAÇÃO DO PÚBLICO (%)]]*10</f>
        <v>8</v>
      </c>
      <c r="M19" s="6">
        <f>DadosBrutos[[#This Row],[QUANTIDADE DE AVALIAÇÕES CRIT.]]*DadosBrutos[[#This Row],[AVALIAÇÃO DOS CRÍTICOS (%)]]</f>
        <v>46.44</v>
      </c>
      <c r="N19" s="6">
        <f>DadosBrutos[[#This Row],[QUANTIDADE DE AVALIAÇÕES CRIT.]]-DadosBrutos[[#This Row],[Quant. avaliações positivas crit.]]</f>
        <v>82.56</v>
      </c>
      <c r="O19" s="6">
        <f>DadosBrutos[[#This Row],[QUANTIDADE DE AVALIAÇÕES PÚBLICO]]*DadosBrutos[[#This Row],[AVALIAÇÃO DO PÚBLICO (%)]]</f>
        <v>800</v>
      </c>
      <c r="P19" s="6">
        <f>DadosBrutos[[#This Row],[QUANTIDADE DE AVALIAÇÕES PÚBLICO]]-DadosBrutos[[#This Row],[Quant. avaliações positivas público]]</f>
        <v>200</v>
      </c>
      <c r="Q19" s="7">
        <f>VALUE(IF(DadosBrutos[[#This Row],[BILHETERIA]]="","0",VALUE(SUBSTITUTE(SUBSTITUTE(SUBSTITUTE(SUBSTITUTE(DadosBrutos[[#This Row],[BILHETERIA]], "M", ""), "$", ""),".",","),"K",""))))</f>
        <v>85.3</v>
      </c>
    </row>
    <row r="20" spans="1:17" x14ac:dyDescent="0.3">
      <c r="A20" s="10" t="str">
        <f>'Tabela de Filmes'!A20</f>
        <v>X</v>
      </c>
      <c r="B20" s="4" t="str">
        <f>'Tabela de Filmes'!B20</f>
        <v>Mar 18, 2022, Wide</v>
      </c>
      <c r="C20" s="4" t="str">
        <f>'Tabela de Filmes'!C20</f>
        <v>Mystery &amp; Thriller</v>
      </c>
      <c r="D20" s="4" t="str">
        <f>'Tabela de Filmes'!D20</f>
        <v>Fish out of water.</v>
      </c>
      <c r="E20" s="4" t="str">
        <f>'Tabela de Filmes'!E20</f>
        <v>Ti West</v>
      </c>
      <c r="F20" s="6" t="str">
        <f>'Tabela de Filmes'!F20</f>
        <v>$11.6M</v>
      </c>
      <c r="G20" s="12">
        <f>VALUE('Tabela de Filmes'!G20)</f>
        <v>0.94</v>
      </c>
      <c r="H20" s="5" t="str">
        <f>'Tabela de Filmes'!H20</f>
        <v>76%</v>
      </c>
      <c r="I20" s="4" t="str">
        <f>'Tabela de Filmes'!I20</f>
        <v>227</v>
      </c>
      <c r="J20" s="4" t="str">
        <f>'Tabela de Filmes'!J20</f>
        <v>500</v>
      </c>
      <c r="K20" s="10">
        <f>DadosBrutos[[#This Row],[AVALIAÇÃO DOS CRÍTICOS (%)]]*10</f>
        <v>9.3999999999999986</v>
      </c>
      <c r="L20" s="10">
        <f>DadosBrutos[[#This Row],[AVALIAÇÃO DO PÚBLICO (%)]]*10</f>
        <v>7.6</v>
      </c>
      <c r="M20" s="6">
        <f>DadosBrutos[[#This Row],[QUANTIDADE DE AVALIAÇÕES CRIT.]]*DadosBrutos[[#This Row],[AVALIAÇÃO DOS CRÍTICOS (%)]]</f>
        <v>213.38</v>
      </c>
      <c r="N20" s="6">
        <f>DadosBrutos[[#This Row],[QUANTIDADE DE AVALIAÇÕES CRIT.]]-DadosBrutos[[#This Row],[Quant. avaliações positivas crit.]]</f>
        <v>13.620000000000005</v>
      </c>
      <c r="O20" s="6">
        <f>DadosBrutos[[#This Row],[QUANTIDADE DE AVALIAÇÕES PÚBLICO]]*DadosBrutos[[#This Row],[AVALIAÇÃO DO PÚBLICO (%)]]</f>
        <v>380</v>
      </c>
      <c r="P20" s="6">
        <f>DadosBrutos[[#This Row],[QUANTIDADE DE AVALIAÇÕES PÚBLICO]]-DadosBrutos[[#This Row],[Quant. avaliações positivas público]]</f>
        <v>120</v>
      </c>
      <c r="Q20" s="7">
        <f>VALUE(IF(DadosBrutos[[#This Row],[BILHETERIA]]="","0",VALUE(SUBSTITUTE(SUBSTITUTE(SUBSTITUTE(SUBSTITUTE(DadosBrutos[[#This Row],[BILHETERIA]], "M", ""), "$", ""),".",","),"K",""))))</f>
        <v>11.6</v>
      </c>
    </row>
    <row r="21" spans="1:17" x14ac:dyDescent="0.3">
      <c r="A21" s="10" t="str">
        <f>'Tabela de Filmes'!A21</f>
        <v>Challengers</v>
      </c>
      <c r="B21" s="4" t="str">
        <f>'Tabela de Filmes'!B21</f>
        <v>Apr 26, 2024, Wide</v>
      </c>
      <c r="C21" s="4" t="str">
        <f>'Tabela de Filmes'!C21</f>
        <v>Drama</v>
      </c>
      <c r="D21" s="4" t="str">
        <f>'Tabela de Filmes'!D21</f>
        <v xml:space="preserve">"Survival horror" </v>
      </c>
      <c r="E21" s="4" t="str">
        <f>'Tabela de Filmes'!E21</f>
        <v>Luca Guadagnino</v>
      </c>
      <c r="F21" s="6" t="str">
        <f>'Tabela de Filmes'!F21</f>
        <v>$50.1M</v>
      </c>
      <c r="G21" s="12">
        <f>VALUE('Tabela de Filmes'!G21)</f>
        <v>0.88</v>
      </c>
      <c r="H21" s="5" t="str">
        <f>'Tabela de Filmes'!H21</f>
        <v>73%</v>
      </c>
      <c r="I21" s="4" t="str">
        <f>'Tabela de Filmes'!I21</f>
        <v>337</v>
      </c>
      <c r="J21" s="4" t="str">
        <f>'Tabela de Filmes'!J21</f>
        <v>500</v>
      </c>
      <c r="K21" s="10">
        <f>DadosBrutos[[#This Row],[AVALIAÇÃO DOS CRÍTICOS (%)]]*10</f>
        <v>8.8000000000000007</v>
      </c>
      <c r="L21" s="10">
        <f>DadosBrutos[[#This Row],[AVALIAÇÃO DO PÚBLICO (%)]]*10</f>
        <v>7.3</v>
      </c>
      <c r="M21" s="6">
        <f>DadosBrutos[[#This Row],[QUANTIDADE DE AVALIAÇÕES CRIT.]]*DadosBrutos[[#This Row],[AVALIAÇÃO DOS CRÍTICOS (%)]]</f>
        <v>296.56</v>
      </c>
      <c r="N21" s="6">
        <f>DadosBrutos[[#This Row],[QUANTIDADE DE AVALIAÇÕES CRIT.]]-DadosBrutos[[#This Row],[Quant. avaliações positivas crit.]]</f>
        <v>40.44</v>
      </c>
      <c r="O21" s="6">
        <f>DadosBrutos[[#This Row],[QUANTIDADE DE AVALIAÇÕES PÚBLICO]]*DadosBrutos[[#This Row],[AVALIAÇÃO DO PÚBLICO (%)]]</f>
        <v>365</v>
      </c>
      <c r="P21" s="6">
        <f>DadosBrutos[[#This Row],[QUANTIDADE DE AVALIAÇÕES PÚBLICO]]-DadosBrutos[[#This Row],[Quant. avaliações positivas público]]</f>
        <v>135</v>
      </c>
      <c r="Q21" s="7">
        <f>VALUE(IF(DadosBrutos[[#This Row],[BILHETERIA]]="","0",VALUE(SUBSTITUTE(SUBSTITUTE(SUBSTITUTE(SUBSTITUTE(DadosBrutos[[#This Row],[BILHETERIA]], "M", ""), "$", ""),".",","),"K",""))))</f>
        <v>50.1</v>
      </c>
    </row>
    <row r="22" spans="1:17" x14ac:dyDescent="0.3">
      <c r="A22" s="10" t="str">
        <f>'Tabela de Filmes'!A22</f>
        <v>Tuesday</v>
      </c>
      <c r="B22" s="4" t="str">
        <f>'Tabela de Filmes'!B22</f>
        <v>Jun 14, 2024, Wide</v>
      </c>
      <c r="C22" s="4" t="str">
        <f>'Tabela de Filmes'!C22</f>
        <v>Mystery &amp; Thriller</v>
      </c>
      <c r="D22" s="4" t="str">
        <f>'Tabela de Filmes'!D22</f>
        <v>Love Triangle</v>
      </c>
      <c r="E22" s="4" t="str">
        <f>'Tabela de Filmes'!E22</f>
        <v>Daina Oniunas-Pusic</v>
      </c>
      <c r="F22" s="6" t="str">
        <f>'Tabela de Filmes'!F22</f>
        <v>$620.0K</v>
      </c>
      <c r="G22" s="12">
        <f>VALUE('Tabela de Filmes'!G22)</f>
        <v>0.82</v>
      </c>
      <c r="H22" s="5" t="str">
        <f>'Tabela de Filmes'!H22</f>
        <v>49%</v>
      </c>
      <c r="I22" s="4" t="str">
        <f>'Tabela de Filmes'!I22</f>
        <v>84</v>
      </c>
      <c r="J22" s="4" t="str">
        <f>'Tabela de Filmes'!J22</f>
        <v>50</v>
      </c>
      <c r="K22" s="10">
        <f>DadosBrutos[[#This Row],[AVALIAÇÃO DOS CRÍTICOS (%)]]*10</f>
        <v>8.1999999999999993</v>
      </c>
      <c r="L22" s="10">
        <f>DadosBrutos[[#This Row],[AVALIAÇÃO DO PÚBLICO (%)]]*10</f>
        <v>4.9000000000000004</v>
      </c>
      <c r="M22" s="6">
        <f>DadosBrutos[[#This Row],[QUANTIDADE DE AVALIAÇÕES CRIT.]]*DadosBrutos[[#This Row],[AVALIAÇÃO DOS CRÍTICOS (%)]]</f>
        <v>68.88</v>
      </c>
      <c r="N22" s="6">
        <f>DadosBrutos[[#This Row],[QUANTIDADE DE AVALIAÇÕES CRIT.]]-DadosBrutos[[#This Row],[Quant. avaliações positivas crit.]]</f>
        <v>15.120000000000005</v>
      </c>
      <c r="O22" s="6">
        <f>DadosBrutos[[#This Row],[QUANTIDADE DE AVALIAÇÕES PÚBLICO]]*DadosBrutos[[#This Row],[AVALIAÇÃO DO PÚBLICO (%)]]</f>
        <v>24.5</v>
      </c>
      <c r="P22" s="6">
        <f>DadosBrutos[[#This Row],[QUANTIDADE DE AVALIAÇÕES PÚBLICO]]-DadosBrutos[[#This Row],[Quant. avaliações positivas público]]</f>
        <v>25.5</v>
      </c>
      <c r="Q22" s="7">
        <f>VALUE(IF(DadosBrutos[[#This Row],[BILHETERIA]]="","0",VALUE(SUBSTITUTE(SUBSTITUTE(SUBSTITUTE(SUBSTITUTE(DadosBrutos[[#This Row],[BILHETERIA]], "M", ""), "$", ""),".",","),"K",""))))</f>
        <v>620</v>
      </c>
    </row>
    <row r="23" spans="1:17" x14ac:dyDescent="0.3">
      <c r="A23" s="10" t="str">
        <f>'Tabela de Filmes'!A23</f>
        <v>Daddio</v>
      </c>
      <c r="B23" s="4" t="str">
        <f>'Tabela de Filmes'!B23</f>
        <v>Jun 28, 2024, Limited</v>
      </c>
      <c r="C23" s="4" t="str">
        <f>'Tabela de Filmes'!C23</f>
        <v>Drama</v>
      </c>
      <c r="D23" s="4" t="str">
        <f>'Tabela de Filmes'!D23</f>
        <v>Magical Realism</v>
      </c>
      <c r="E23" s="4" t="str">
        <f>'Tabela de Filmes'!E23</f>
        <v>Christy Hall</v>
      </c>
      <c r="F23" s="6">
        <f>'Tabela de Filmes'!F23</f>
        <v>0</v>
      </c>
      <c r="G23" s="12">
        <f>VALUE('Tabela de Filmes'!G23)</f>
        <v>0.82</v>
      </c>
      <c r="H23" s="5">
        <f>'Tabela de Filmes'!H23</f>
        <v>0</v>
      </c>
      <c r="I23" s="4" t="str">
        <f>'Tabela de Filmes'!I23</f>
        <v>28</v>
      </c>
      <c r="J23" s="4">
        <f>'Tabela de Filmes'!J23</f>
        <v>0</v>
      </c>
      <c r="K23" s="10">
        <f>DadosBrutos[[#This Row],[AVALIAÇÃO DOS CRÍTICOS (%)]]*10</f>
        <v>8.1999999999999993</v>
      </c>
      <c r="L23" s="10">
        <f>DadosBrutos[[#This Row],[AVALIAÇÃO DO PÚBLICO (%)]]*10</f>
        <v>0</v>
      </c>
      <c r="M23" s="6">
        <f>DadosBrutos[[#This Row],[QUANTIDADE DE AVALIAÇÕES CRIT.]]*DadosBrutos[[#This Row],[AVALIAÇÃO DOS CRÍTICOS (%)]]</f>
        <v>22.959999999999997</v>
      </c>
      <c r="N23" s="6">
        <f>DadosBrutos[[#This Row],[QUANTIDADE DE AVALIAÇÕES CRIT.]]-DadosBrutos[[#This Row],[Quant. avaliações positivas crit.]]</f>
        <v>5.0400000000000027</v>
      </c>
      <c r="O23" s="6">
        <f>DadosBrutos[[#This Row],[QUANTIDADE DE AVALIAÇÕES PÚBLICO]]*DadosBrutos[[#This Row],[AVALIAÇÃO DO PÚBLICO (%)]]</f>
        <v>0</v>
      </c>
      <c r="P23" s="6">
        <f>DadosBrutos[[#This Row],[QUANTIDADE DE AVALIAÇÕES PÚBLICO]]-DadosBrutos[[#This Row],[Quant. avaliações positivas público]]</f>
        <v>0</v>
      </c>
      <c r="Q23" s="7">
        <f>VALUE(IF(DadosBrutos[[#This Row],[BILHETERIA]]="","0",VALUE(SUBSTITUTE(SUBSTITUTE(SUBSTITUTE(SUBSTITUTE(DadosBrutos[[#This Row],[BILHETERIA]], "M", ""), "$", ""),".",","),"K",""))))</f>
        <v>0</v>
      </c>
    </row>
    <row r="24" spans="1:17" x14ac:dyDescent="0.3">
      <c r="A24" s="10" t="str">
        <f>'Tabela de Filmes'!A24</f>
        <v>The Strangers: Chapter 1</v>
      </c>
      <c r="B24" s="4" t="str">
        <f>'Tabela de Filmes'!B24</f>
        <v>May 17, 2024, Wide</v>
      </c>
      <c r="C24" s="4" t="str">
        <f>'Tabela de Filmes'!C24</f>
        <v>Mystery &amp; Thriller</v>
      </c>
      <c r="D24" s="4" t="str">
        <f>'Tabela de Filmes'!D24</f>
        <v xml:space="preserve">"Meet Cute" </v>
      </c>
      <c r="E24" s="4" t="str">
        <f>'Tabela de Filmes'!E24</f>
        <v>Renny Harlin</v>
      </c>
      <c r="F24" s="6" t="str">
        <f>'Tabela de Filmes'!F24</f>
        <v>$34.8M</v>
      </c>
      <c r="G24" s="12">
        <f>VALUE('Tabela de Filmes'!G24)</f>
        <v>0.22</v>
      </c>
      <c r="H24" s="5" t="str">
        <f>'Tabela de Filmes'!H24</f>
        <v>44%</v>
      </c>
      <c r="I24" s="4" t="str">
        <f>'Tabela de Filmes'!I24</f>
        <v>96</v>
      </c>
      <c r="J24" s="4" t="str">
        <f>'Tabela de Filmes'!J24</f>
        <v>500</v>
      </c>
      <c r="K24" s="10">
        <f>DadosBrutos[[#This Row],[AVALIAÇÃO DOS CRÍTICOS (%)]]*10</f>
        <v>2.2000000000000002</v>
      </c>
      <c r="L24" s="10">
        <f>DadosBrutos[[#This Row],[AVALIAÇÃO DO PÚBLICO (%)]]*10</f>
        <v>4.4000000000000004</v>
      </c>
      <c r="M24" s="6">
        <f>DadosBrutos[[#This Row],[QUANTIDADE DE AVALIAÇÕES CRIT.]]*DadosBrutos[[#This Row],[AVALIAÇÃO DOS CRÍTICOS (%)]]</f>
        <v>21.12</v>
      </c>
      <c r="N24" s="6">
        <f>DadosBrutos[[#This Row],[QUANTIDADE DE AVALIAÇÕES CRIT.]]-DadosBrutos[[#This Row],[Quant. avaliações positivas crit.]]</f>
        <v>74.88</v>
      </c>
      <c r="O24" s="6">
        <f>DadosBrutos[[#This Row],[QUANTIDADE DE AVALIAÇÕES PÚBLICO]]*DadosBrutos[[#This Row],[AVALIAÇÃO DO PÚBLICO (%)]]</f>
        <v>220</v>
      </c>
      <c r="P24" s="6">
        <f>DadosBrutos[[#This Row],[QUANTIDADE DE AVALIAÇÕES PÚBLICO]]-DadosBrutos[[#This Row],[Quant. avaliações positivas público]]</f>
        <v>280</v>
      </c>
      <c r="Q24" s="7">
        <f>VALUE(IF(DadosBrutos[[#This Row],[BILHETERIA]]="","0",VALUE(SUBSTITUTE(SUBSTITUTE(SUBSTITUTE(SUBSTITUTE(DadosBrutos[[#This Row],[BILHETERIA]], "M", ""), "$", ""),".",","),"K",""))))</f>
        <v>34.799999999999997</v>
      </c>
    </row>
    <row r="25" spans="1:17" x14ac:dyDescent="0.3">
      <c r="A25" s="10" t="str">
        <f>'Tabela de Filmes'!A25</f>
        <v>In A Violent Nature</v>
      </c>
      <c r="B25" s="4" t="str">
        <f>'Tabela de Filmes'!B25</f>
        <v>May 31, 2024, Wide</v>
      </c>
      <c r="C25" s="4" t="str">
        <f>'Tabela de Filmes'!C25</f>
        <v>Mystery &amp; Thriller</v>
      </c>
      <c r="D25" s="4" t="str">
        <f>'Tabela de Filmes'!D25</f>
        <v>Home invasion</v>
      </c>
      <c r="E25" s="4" t="str">
        <f>'Tabela de Filmes'!E25</f>
        <v>Chris Nash</v>
      </c>
      <c r="F25" s="6" t="str">
        <f>'Tabela de Filmes'!F25</f>
        <v>$4.2M</v>
      </c>
      <c r="G25" s="12">
        <f>VALUE('Tabela de Filmes'!G25)</f>
        <v>0.81</v>
      </c>
      <c r="H25" s="5" t="str">
        <f>'Tabela de Filmes'!H25</f>
        <v>44%</v>
      </c>
      <c r="I25" s="4" t="str">
        <f>'Tabela de Filmes'!I25</f>
        <v>137</v>
      </c>
      <c r="J25" s="4" t="str">
        <f>'Tabela de Filmes'!J25</f>
        <v>250</v>
      </c>
      <c r="K25" s="10">
        <f>DadosBrutos[[#This Row],[AVALIAÇÃO DOS CRÍTICOS (%)]]*10</f>
        <v>8.1000000000000014</v>
      </c>
      <c r="L25" s="10">
        <f>DadosBrutos[[#This Row],[AVALIAÇÃO DO PÚBLICO (%)]]*10</f>
        <v>4.4000000000000004</v>
      </c>
      <c r="M25" s="6">
        <f>DadosBrutos[[#This Row],[QUANTIDADE DE AVALIAÇÕES CRIT.]]*DadosBrutos[[#This Row],[AVALIAÇÃO DOS CRÍTICOS (%)]]</f>
        <v>110.97000000000001</v>
      </c>
      <c r="N25" s="6">
        <f>DadosBrutos[[#This Row],[QUANTIDADE DE AVALIAÇÕES CRIT.]]-DadosBrutos[[#This Row],[Quant. avaliações positivas crit.]]</f>
        <v>26.029999999999987</v>
      </c>
      <c r="O25" s="6">
        <f>DadosBrutos[[#This Row],[QUANTIDADE DE AVALIAÇÕES PÚBLICO]]*DadosBrutos[[#This Row],[AVALIAÇÃO DO PÚBLICO (%)]]</f>
        <v>110</v>
      </c>
      <c r="P25" s="6">
        <f>DadosBrutos[[#This Row],[QUANTIDADE DE AVALIAÇÕES PÚBLICO]]-DadosBrutos[[#This Row],[Quant. avaliações positivas público]]</f>
        <v>140</v>
      </c>
      <c r="Q25" s="7">
        <f>VALUE(IF(DadosBrutos[[#This Row],[BILHETERIA]]="","0",VALUE(SUBSTITUTE(SUBSTITUTE(SUBSTITUTE(SUBSTITUTE(DadosBrutos[[#This Row],[BILHETERIA]], "M", ""), "$", ""),".",","),"K",""))))</f>
        <v>4.2</v>
      </c>
    </row>
    <row r="26" spans="1:17" x14ac:dyDescent="0.3">
      <c r="A26" s="10" t="str">
        <f>'Tabela de Filmes'!A26</f>
        <v>Fancy Dance</v>
      </c>
      <c r="B26" s="4" t="str">
        <f>'Tabela de Filmes'!B26</f>
        <v>Jun 21, 2024, Limited</v>
      </c>
      <c r="C26" s="4" t="str">
        <f>'Tabela de Filmes'!C26</f>
        <v>Drama</v>
      </c>
      <c r="D26" s="4" t="str">
        <f>'Tabela de Filmes'!D26</f>
        <v>Undead Revenge</v>
      </c>
      <c r="E26" s="4" t="str">
        <f>'Tabela de Filmes'!E26</f>
        <v>Erica Tremblay</v>
      </c>
      <c r="F26" s="6">
        <f>'Tabela de Filmes'!F26</f>
        <v>0</v>
      </c>
      <c r="G26" s="12">
        <f>VALUE('Tabela de Filmes'!G26)</f>
        <v>0.97</v>
      </c>
      <c r="H26" s="5" t="str">
        <f>'Tabela de Filmes'!H26</f>
        <v>81%</v>
      </c>
      <c r="I26" s="4" t="str">
        <f>'Tabela de Filmes'!I26</f>
        <v>64</v>
      </c>
      <c r="J26" s="4" t="str">
        <f>'Tabela de Filmes'!J26</f>
        <v>50</v>
      </c>
      <c r="K26" s="10">
        <f>DadosBrutos[[#This Row],[AVALIAÇÃO DOS CRÍTICOS (%)]]*10</f>
        <v>9.6999999999999993</v>
      </c>
      <c r="L26" s="10">
        <f>DadosBrutos[[#This Row],[AVALIAÇÃO DO PÚBLICO (%)]]*10</f>
        <v>8.1000000000000014</v>
      </c>
      <c r="M26" s="6">
        <f>DadosBrutos[[#This Row],[QUANTIDADE DE AVALIAÇÕES CRIT.]]*DadosBrutos[[#This Row],[AVALIAÇÃO DOS CRÍTICOS (%)]]</f>
        <v>62.08</v>
      </c>
      <c r="N26" s="6">
        <f>DadosBrutos[[#This Row],[QUANTIDADE DE AVALIAÇÕES CRIT.]]-DadosBrutos[[#This Row],[Quant. avaliações positivas crit.]]</f>
        <v>1.9200000000000017</v>
      </c>
      <c r="O26" s="6">
        <f>DadosBrutos[[#This Row],[QUANTIDADE DE AVALIAÇÕES PÚBLICO]]*DadosBrutos[[#This Row],[AVALIAÇÃO DO PÚBLICO (%)]]</f>
        <v>40.5</v>
      </c>
      <c r="P26" s="6">
        <f>DadosBrutos[[#This Row],[QUANTIDADE DE AVALIAÇÕES PÚBLICO]]-DadosBrutos[[#This Row],[Quant. avaliações positivas público]]</f>
        <v>9.5</v>
      </c>
      <c r="Q26" s="7">
        <f>VALUE(IF(DadosBrutos[[#This Row],[BILHETERIA]]="","0",VALUE(SUBSTITUTE(SUBSTITUTE(SUBSTITUTE(SUBSTITUTE(DadosBrutos[[#This Row],[BILHETERIA]], "M", ""), "$", ""),".",","),"K",""))))</f>
        <v>0</v>
      </c>
    </row>
    <row r="27" spans="1:17" x14ac:dyDescent="0.3">
      <c r="A27" s="10" t="str">
        <f>'Tabela de Filmes'!A27</f>
        <v>Rite Here Rite Now</v>
      </c>
      <c r="B27" s="4" t="str">
        <f>'Tabela de Filmes'!B27</f>
        <v>Jun 20, 2024, Limited</v>
      </c>
      <c r="C27" s="4" t="str">
        <f>'Tabela de Filmes'!C27</f>
        <v>Music</v>
      </c>
      <c r="D27" s="4" t="str">
        <f>'Tabela de Filmes'!D27</f>
        <v xml:space="preserve">Missing person </v>
      </c>
      <c r="E27" s="4" t="str">
        <f>'Tabela de Filmes'!E27</f>
        <v>Tobias Forge</v>
      </c>
      <c r="F27" s="6">
        <f>'Tabela de Filmes'!F27</f>
        <v>0</v>
      </c>
      <c r="G27" s="12">
        <f>VALUE('Tabela de Filmes'!G27)</f>
        <v>0</v>
      </c>
      <c r="H27" s="5" t="str">
        <f>'Tabela de Filmes'!H27</f>
        <v>99%</v>
      </c>
      <c r="I27" s="4">
        <f>'Tabela de Filmes'!I27</f>
        <v>0</v>
      </c>
      <c r="J27" s="4" t="str">
        <f>'Tabela de Filmes'!J27</f>
        <v>500</v>
      </c>
      <c r="K27" s="10">
        <f>DadosBrutos[[#This Row],[AVALIAÇÃO DOS CRÍTICOS (%)]]*10</f>
        <v>0</v>
      </c>
      <c r="L27" s="10">
        <f>DadosBrutos[[#This Row],[AVALIAÇÃO DO PÚBLICO (%)]]*10</f>
        <v>9.9</v>
      </c>
      <c r="M27" s="6">
        <f>DadosBrutos[[#This Row],[QUANTIDADE DE AVALIAÇÕES CRIT.]]*DadosBrutos[[#This Row],[AVALIAÇÃO DOS CRÍTICOS (%)]]</f>
        <v>0</v>
      </c>
      <c r="N27" s="6">
        <f>DadosBrutos[[#This Row],[QUANTIDADE DE AVALIAÇÕES CRIT.]]-DadosBrutos[[#This Row],[Quant. avaliações positivas crit.]]</f>
        <v>0</v>
      </c>
      <c r="O27" s="6">
        <f>DadosBrutos[[#This Row],[QUANTIDADE DE AVALIAÇÕES PÚBLICO]]*DadosBrutos[[#This Row],[AVALIAÇÃO DO PÚBLICO (%)]]</f>
        <v>495</v>
      </c>
      <c r="P27" s="6">
        <f>DadosBrutos[[#This Row],[QUANTIDADE DE AVALIAÇÕES PÚBLICO]]-DadosBrutos[[#This Row],[Quant. avaliações positivas público]]</f>
        <v>5</v>
      </c>
      <c r="Q27" s="7">
        <f>VALUE(IF(DadosBrutos[[#This Row],[BILHETERIA]]="","0",VALUE(SUBSTITUTE(SUBSTITUTE(SUBSTITUTE(SUBSTITUTE(DadosBrutos[[#This Row],[BILHETERIA]], "M", ""), "$", ""),".",","),"K",""))))</f>
        <v>0</v>
      </c>
    </row>
    <row r="28" spans="1:17" x14ac:dyDescent="0.3">
      <c r="A28" s="10" t="str">
        <f>'Tabela de Filmes'!A28</f>
        <v>Tarot</v>
      </c>
      <c r="B28" s="4" t="str">
        <f>'Tabela de Filmes'!B28</f>
        <v>May 3, 2024, Wide</v>
      </c>
      <c r="C28" s="4" t="str">
        <f>'Tabela de Filmes'!C28</f>
        <v>Mystery &amp; Thriller</v>
      </c>
      <c r="D28" s="4" t="str">
        <f>'Tabela de Filmes'!D28</f>
        <v>Concert Film</v>
      </c>
      <c r="E28" s="4" t="str">
        <f>'Tabela de Filmes'!E28</f>
        <v>Anna Halberg</v>
      </c>
      <c r="F28" s="6" t="str">
        <f>'Tabela de Filmes'!F28</f>
        <v>$18.6M</v>
      </c>
      <c r="G28" s="12">
        <f>VALUE('Tabela de Filmes'!G28)</f>
        <v>0.19</v>
      </c>
      <c r="H28" s="5" t="str">
        <f>'Tabela de Filmes'!H28</f>
        <v>59%</v>
      </c>
      <c r="I28" s="4" t="str">
        <f>'Tabela de Filmes'!I28</f>
        <v>54</v>
      </c>
      <c r="J28" s="4" t="str">
        <f>'Tabela de Filmes'!J28</f>
        <v>250</v>
      </c>
      <c r="K28" s="10">
        <f>DadosBrutos[[#This Row],[AVALIAÇÃO DOS CRÍTICOS (%)]]*10</f>
        <v>1.9</v>
      </c>
      <c r="L28" s="10">
        <f>DadosBrutos[[#This Row],[AVALIAÇÃO DO PÚBLICO (%)]]*10</f>
        <v>5.8999999999999995</v>
      </c>
      <c r="M28" s="6">
        <f>DadosBrutos[[#This Row],[QUANTIDADE DE AVALIAÇÕES CRIT.]]*DadosBrutos[[#This Row],[AVALIAÇÃO DOS CRÍTICOS (%)]]</f>
        <v>10.26</v>
      </c>
      <c r="N28" s="6">
        <f>DadosBrutos[[#This Row],[QUANTIDADE DE AVALIAÇÕES CRIT.]]-DadosBrutos[[#This Row],[Quant. avaliações positivas crit.]]</f>
        <v>43.74</v>
      </c>
      <c r="O28" s="6">
        <f>DadosBrutos[[#This Row],[QUANTIDADE DE AVALIAÇÕES PÚBLICO]]*DadosBrutos[[#This Row],[AVALIAÇÃO DO PÚBLICO (%)]]</f>
        <v>147.5</v>
      </c>
      <c r="P28" s="6">
        <f>DadosBrutos[[#This Row],[QUANTIDADE DE AVALIAÇÕES PÚBLICO]]-DadosBrutos[[#This Row],[Quant. avaliações positivas público]]</f>
        <v>102.5</v>
      </c>
      <c r="Q28" s="7">
        <f>VALUE(IF(DadosBrutos[[#This Row],[BILHETERIA]]="","0",VALUE(SUBSTITUTE(SUBSTITUTE(SUBSTITUTE(SUBSTITUTE(DadosBrutos[[#This Row],[BILHETERIA]], "M", ""), "$", ""),".",","),"K",""))))</f>
        <v>18.600000000000001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F0ED-BEC3-447C-8C55-8E0B60FC076A}">
  <dimension ref="A3:B13"/>
  <sheetViews>
    <sheetView workbookViewId="0">
      <selection activeCell="A3" sqref="A3"/>
    </sheetView>
  </sheetViews>
  <sheetFormatPr defaultRowHeight="14.4" x14ac:dyDescent="0.3"/>
  <cols>
    <col min="1" max="1" width="16.77734375" bestFit="1" customWidth="1"/>
    <col min="2" max="2" width="31.88671875" bestFit="1" customWidth="1"/>
  </cols>
  <sheetData>
    <row r="3" spans="1:2" x14ac:dyDescent="0.3">
      <c r="A3" s="2" t="s">
        <v>231</v>
      </c>
      <c r="B3" t="s">
        <v>219</v>
      </c>
    </row>
    <row r="4" spans="1:2" x14ac:dyDescent="0.3">
      <c r="A4" s="3" t="s">
        <v>31</v>
      </c>
      <c r="B4" s="11">
        <v>2.2999999999999998</v>
      </c>
    </row>
    <row r="5" spans="1:2" x14ac:dyDescent="0.3">
      <c r="A5" s="3" t="s">
        <v>116</v>
      </c>
      <c r="B5" s="11">
        <v>164.6</v>
      </c>
    </row>
    <row r="6" spans="1:2" x14ac:dyDescent="0.3">
      <c r="A6" s="3" t="s">
        <v>12</v>
      </c>
      <c r="B6" s="11">
        <v>441.7</v>
      </c>
    </row>
    <row r="7" spans="1:2" x14ac:dyDescent="0.3">
      <c r="A7" s="3" t="s">
        <v>73</v>
      </c>
      <c r="B7" s="11">
        <v>147</v>
      </c>
    </row>
    <row r="8" spans="1:2" x14ac:dyDescent="0.3">
      <c r="A8" s="3" t="s">
        <v>22</v>
      </c>
      <c r="B8" s="11">
        <v>983.8</v>
      </c>
    </row>
    <row r="9" spans="1:2" x14ac:dyDescent="0.3">
      <c r="A9" s="3" t="s">
        <v>41</v>
      </c>
      <c r="B9" s="11">
        <v>106.6</v>
      </c>
    </row>
    <row r="10" spans="1:2" x14ac:dyDescent="0.3">
      <c r="A10" s="3" t="s">
        <v>191</v>
      </c>
      <c r="B10" s="11">
        <v>0</v>
      </c>
    </row>
    <row r="11" spans="1:2" x14ac:dyDescent="0.3">
      <c r="A11" s="3" t="s">
        <v>81</v>
      </c>
      <c r="B11" s="11">
        <v>713.9</v>
      </c>
    </row>
    <row r="12" spans="1:2" x14ac:dyDescent="0.3">
      <c r="A12" s="3" t="s">
        <v>90</v>
      </c>
      <c r="B12" s="11">
        <v>476.9</v>
      </c>
    </row>
    <row r="13" spans="1:2" x14ac:dyDescent="0.3">
      <c r="A13" s="3" t="s">
        <v>220</v>
      </c>
      <c r="B13" s="11">
        <v>3036.8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tabSelected="1" zoomScale="51" workbookViewId="0">
      <selection activeCell="C40" sqref="C40"/>
    </sheetView>
  </sheetViews>
  <sheetFormatPr defaultRowHeight="14.4" x14ac:dyDescent="0.3"/>
  <cols>
    <col min="1" max="1" width="28.109375" bestFit="1" customWidth="1"/>
    <col min="2" max="3" width="26.21875" bestFit="1" customWidth="1"/>
    <col min="4" max="4" width="22.88671875" bestFit="1" customWidth="1"/>
    <col min="5" max="5" width="20.6640625" customWidth="1"/>
    <col min="6" max="6" width="24.77734375" bestFit="1" customWidth="1"/>
  </cols>
  <sheetData>
    <row r="1" spans="1:6" x14ac:dyDescent="0.3">
      <c r="A1" s="4" t="s">
        <v>209</v>
      </c>
      <c r="B1" s="4" t="s">
        <v>210</v>
      </c>
      <c r="C1" s="4" t="s">
        <v>211</v>
      </c>
      <c r="D1" s="4" t="s">
        <v>212</v>
      </c>
      <c r="E1" s="4" t="s">
        <v>213</v>
      </c>
      <c r="F1" s="4" t="s">
        <v>214</v>
      </c>
    </row>
    <row r="2" spans="1:6" x14ac:dyDescent="0.3">
      <c r="A2" s="4" t="s">
        <v>215</v>
      </c>
      <c r="B2" s="4" t="str">
        <f>INDEX('Dados Brutos'!A:A,MATCH(Tabela24[[#This Row],[Valor Arrecadado (Mil.)]],'Dados Brutos'!Q:Q,0))</f>
        <v>Tuesday</v>
      </c>
      <c r="C2" s="4" t="str">
        <f>INDEX('Dados Brutos'!E:E,MATCH(Tabela24[[#This Row],[Nome do filme]],'Dados Brutos'!A:A,0))</f>
        <v>Daina Oniunas-Pusic</v>
      </c>
      <c r="D2" s="8" t="str">
        <f>INDEX(DadosBrutos[AVALIAÇÃO DO PÚBLICO (%)],MATCH(Tabela24[[#This Row],[Nome do filme]],DadosBrutos[FILMES],0))</f>
        <v>49%</v>
      </c>
      <c r="E2" s="8">
        <f>INDEX('Dados Brutos'!G:G,MATCH(Tabela24[[#This Row],[Nome do filme]],'Dados Brutos'!A:A,0))</f>
        <v>0.82</v>
      </c>
      <c r="F2" s="7">
        <f>LARGE('Dados Brutos'!Q:Q,1)</f>
        <v>620</v>
      </c>
    </row>
    <row r="3" spans="1:6" x14ac:dyDescent="0.3">
      <c r="A3" s="4" t="s">
        <v>216</v>
      </c>
      <c r="B3" s="4" t="str">
        <f>INDEX('Dados Brutos'!A:A,MATCH(Tabela24[[#This Row],[Valor Arrecadado (Mil.)]],'Dados Brutos'!Q:Q,0))</f>
        <v>Thelma</v>
      </c>
      <c r="C3" s="4" t="str">
        <f>INDEX('Dados Brutos'!E:E,MATCH(Tabela24[[#This Row],[Nome do filme]],'Dados Brutos'!A:A,0))</f>
        <v>Josh Margolin</v>
      </c>
      <c r="D3" s="8" t="str">
        <f>INDEX(DadosBrutos[AVALIAÇÃO DO PÚBLICO (%)],MATCH(Tabela24[[#This Row],[Nome do filme]],DadosBrutos[FILMES],0))</f>
        <v>82%</v>
      </c>
      <c r="E3" s="8">
        <f>INDEX('Dados Brutos'!G:G,MATCH(Tabela24[[#This Row],[Nome do filme]],'Dados Brutos'!A:A,0))</f>
        <v>0.99</v>
      </c>
      <c r="F3" s="7">
        <f t="array" ref="F3">SMALL(IF('Dados Brutos'!Q:Q &gt;0,'Dados Brutos'!Q:Q),1)</f>
        <v>2.2999999999999998</v>
      </c>
    </row>
    <row r="4" spans="1:6" x14ac:dyDescent="0.3">
      <c r="A4" s="4" t="s">
        <v>217</v>
      </c>
      <c r="B4" s="4" t="str">
        <f>INDEX('Dados Brutos'!A:A,MATCH(Tabela24[[#This Row],[Avaliação do público]],'Dados Brutos'!H:H,0))</f>
        <v>Horizon: An American Saga - Chapter 1</v>
      </c>
      <c r="C4" s="4" t="str">
        <f>INDEX('Dados Brutos'!E:E,MATCH(Tabela24[[#This Row],[Nome do filme]],'Dados Brutos'!A:A,0))</f>
        <v>Kevin Costner</v>
      </c>
      <c r="D4" s="8">
        <f>LARGE('Dados Brutos'!H:H,1)</f>
        <v>0</v>
      </c>
      <c r="E4" s="8">
        <f>INDEX('Dados Brutos'!G:G,MATCH(Tabela24[[#This Row],[Nome do filme]],'Dados Brutos'!A:A,0))</f>
        <v>0.47</v>
      </c>
      <c r="F4" s="7">
        <f>INDEX('Dados Brutos'!Q:Q,MATCH(Tabela24[[#This Row],[Nome do filme]],'Dados Brutos'!A:A,0))</f>
        <v>0</v>
      </c>
    </row>
    <row r="5" spans="1:6" x14ac:dyDescent="0.3">
      <c r="A5" s="4" t="s">
        <v>218</v>
      </c>
      <c r="B5" s="4" t="str">
        <f>INDEX('Dados Brutos'!A:A,MATCH(Tabela24[[#This Row],[Avaliação do público]],'Dados Brutos'!H:H,0))</f>
        <v>Horizon: An American Saga - Chapter 1</v>
      </c>
      <c r="C5" s="4" t="str">
        <f>INDEX('Dados Brutos'!E:E,MATCH(Tabela24[[#This Row],[Nome do filme]],'Dados Brutos'!A:A,0))</f>
        <v>Kevin Costner</v>
      </c>
      <c r="D5" s="8">
        <f>SMALL('Dados Brutos'!H:H,1)</f>
        <v>0</v>
      </c>
      <c r="E5" s="8">
        <f>INDEX('Dados Brutos'!G:G,MATCH(Tabela24[[#This Row],[Nome do filme]],'Dados Brutos'!A:A,0))</f>
        <v>0.47</v>
      </c>
      <c r="F5" s="7">
        <f>INDEX('Dados Brutos'!Q:Q,MATCH(Tabela24[[#This Row],[Nome do filme]],'Dados Brutos'!A:A,0))</f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F02A0-ACBE-4831-8A2B-578F00C7EC18}">
  <dimension ref="A3:B13"/>
  <sheetViews>
    <sheetView workbookViewId="0">
      <selection activeCell="H21" sqref="H21"/>
    </sheetView>
  </sheetViews>
  <sheetFormatPr defaultRowHeight="14.4" x14ac:dyDescent="0.3"/>
  <cols>
    <col min="1" max="1" width="16.77734375" bestFit="1" customWidth="1"/>
    <col min="2" max="2" width="19.6640625" bestFit="1" customWidth="1"/>
  </cols>
  <sheetData>
    <row r="3" spans="1:2" x14ac:dyDescent="0.3">
      <c r="A3" s="2" t="s">
        <v>231</v>
      </c>
      <c r="B3" t="s">
        <v>232</v>
      </c>
    </row>
    <row r="4" spans="1:2" x14ac:dyDescent="0.3">
      <c r="A4" s="3" t="s">
        <v>31</v>
      </c>
      <c r="B4" s="11">
        <v>1</v>
      </c>
    </row>
    <row r="5" spans="1:2" x14ac:dyDescent="0.3">
      <c r="A5" s="3" t="s">
        <v>116</v>
      </c>
      <c r="B5" s="11">
        <v>1</v>
      </c>
    </row>
    <row r="6" spans="1:2" x14ac:dyDescent="0.3">
      <c r="A6" s="3" t="s">
        <v>12</v>
      </c>
      <c r="B6" s="11">
        <v>2</v>
      </c>
    </row>
    <row r="7" spans="1:2" x14ac:dyDescent="0.3">
      <c r="A7" s="3" t="s">
        <v>73</v>
      </c>
      <c r="B7" s="11">
        <v>1</v>
      </c>
    </row>
    <row r="8" spans="1:2" x14ac:dyDescent="0.3">
      <c r="A8" s="3" t="s">
        <v>22</v>
      </c>
      <c r="B8" s="11">
        <v>9</v>
      </c>
    </row>
    <row r="9" spans="1:2" x14ac:dyDescent="0.3">
      <c r="A9" s="3" t="s">
        <v>41</v>
      </c>
      <c r="B9" s="11">
        <v>1</v>
      </c>
    </row>
    <row r="10" spans="1:2" x14ac:dyDescent="0.3">
      <c r="A10" s="3" t="s">
        <v>191</v>
      </c>
      <c r="B10" s="11">
        <v>1</v>
      </c>
    </row>
    <row r="11" spans="1:2" x14ac:dyDescent="0.3">
      <c r="A11" s="3" t="s">
        <v>81</v>
      </c>
      <c r="B11" s="11">
        <v>9</v>
      </c>
    </row>
    <row r="12" spans="1:2" x14ac:dyDescent="0.3">
      <c r="A12" s="3" t="s">
        <v>90</v>
      </c>
      <c r="B12" s="11">
        <v>2</v>
      </c>
    </row>
    <row r="13" spans="1:2" x14ac:dyDescent="0.3">
      <c r="A13" s="3" t="s">
        <v>220</v>
      </c>
      <c r="B13" s="11">
        <v>27</v>
      </c>
    </row>
  </sheetData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Tabela de Filmes</vt:lpstr>
      <vt:lpstr>Dados Brutos</vt:lpstr>
      <vt:lpstr>GêneroVendas</vt:lpstr>
      <vt:lpstr>Análise</vt:lpstr>
      <vt:lpstr>Diretor Genero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Raphaella Roma</dc:creator>
  <cp:lastModifiedBy>Beatriz Marques</cp:lastModifiedBy>
  <dcterms:created xsi:type="dcterms:W3CDTF">2024-06-24T21:55:28Z</dcterms:created>
  <dcterms:modified xsi:type="dcterms:W3CDTF">2024-06-26T02:58:49Z</dcterms:modified>
</cp:coreProperties>
</file>