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Sensitivity Analysis/"/>
    </mc:Choice>
  </mc:AlternateContent>
  <xr:revisionPtr revIDLastSave="22" documentId="11_348F9B2ECFC0643ACC0707D1B25FBE2303F2E2F5" xr6:coauthVersionLast="46" xr6:coauthVersionMax="46" xr10:uidLastSave="{48EE7048-059E-4169-8943-0F8BABFB70A0}"/>
  <bookViews>
    <workbookView xWindow="-120" yWindow="-120" windowWidth="20730" windowHeight="11160" tabRatio="800" xr2:uid="{00000000-000D-0000-FFFF-FFFF00000000}"/>
  </bookViews>
  <sheets>
    <sheet name="BCR" sheetId="18" r:id="rId1"/>
    <sheet name="biomarkers(pre-post)" sheetId="17" r:id="rId2"/>
    <sheet name="biomarker(6months)" sheetId="16" r:id="rId3"/>
    <sheet name="biometrics(1yr)" sheetId="15" r:id="rId4"/>
    <sheet name="RESULTS(Benefits)" sheetId="13" state="hidden" r:id="rId5"/>
    <sheet name="recalls" sheetId="14" r:id="rId6"/>
    <sheet name="FIGURES" sheetId="10" r:id="rId7"/>
    <sheet name="Washignton" sheetId="12" state="hidden" r:id="rId8"/>
    <sheet name="Data &amp; PV" sheetId="1" r:id="rId9"/>
    <sheet name="Colorectal Benefit" sheetId="2" r:id="rId10"/>
    <sheet name="Heart Disease Benefit" sheetId="3" r:id="rId11"/>
    <sheet name="Stroke Benefits" sheetId="4" r:id="rId12"/>
    <sheet name="Hypertension Benefit" sheetId="5" r:id="rId13"/>
    <sheet name="osteoporosis" sheetId="6" r:id="rId14"/>
    <sheet name="Type 2 Diabeties" sheetId="7" r:id="rId15"/>
    <sheet name="Obesity" sheetId="8" r:id="rId16"/>
    <sheet name="Foodborne illness" sheetId="9" r:id="rId17"/>
    <sheet name="LBW" sheetId="1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6" i="17" l="1"/>
  <c r="R31" i="15"/>
  <c r="S31" i="15"/>
  <c r="R8" i="14"/>
  <c r="R9" i="15"/>
  <c r="R11" i="16"/>
  <c r="R9" i="16"/>
  <c r="R11" i="17"/>
  <c r="R9" i="17"/>
  <c r="R8" i="17"/>
  <c r="R8" i="16"/>
  <c r="R8" i="15"/>
  <c r="S31" i="16" l="1"/>
  <c r="R31" i="17"/>
  <c r="S31" i="17"/>
  <c r="S31" i="14"/>
  <c r="C5" i="9"/>
  <c r="N32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R23" i="17"/>
  <c r="R24" i="17" s="1"/>
  <c r="R10" i="16"/>
  <c r="R31" i="16"/>
  <c r="R25" i="15"/>
  <c r="R23" i="15"/>
  <c r="R24" i="15" s="1"/>
  <c r="R26" i="15" s="1"/>
  <c r="R9" i="14"/>
  <c r="R11" i="14" s="1"/>
  <c r="E2" i="18"/>
  <c r="E9" i="18"/>
  <c r="E10" i="18"/>
  <c r="D2" i="18"/>
  <c r="D9" i="18"/>
  <c r="D10" i="18"/>
  <c r="C2" i="18"/>
  <c r="C9" i="18"/>
  <c r="C10" i="18"/>
  <c r="B2" i="18"/>
  <c r="B9" i="18"/>
  <c r="B10" i="18"/>
  <c r="E18" i="17"/>
  <c r="E18" i="16"/>
  <c r="R5" i="17"/>
  <c r="R6" i="17"/>
  <c r="R7" i="17"/>
  <c r="R10" i="17"/>
  <c r="E18" i="15"/>
  <c r="R5" i="15"/>
  <c r="R6" i="15"/>
  <c r="R7" i="15"/>
  <c r="R10" i="15"/>
  <c r="R10" i="14"/>
  <c r="E18" i="14"/>
  <c r="F17" i="10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M6" i="9"/>
  <c r="C6" i="9"/>
  <c r="N7" i="8"/>
  <c r="N8" i="8"/>
  <c r="N9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N6" i="8"/>
  <c r="C6" i="8"/>
  <c r="Q7" i="7"/>
  <c r="Q8" i="7"/>
  <c r="Q9" i="7"/>
  <c r="Q10" i="7"/>
  <c r="Q11" i="7"/>
  <c r="Q12" i="7"/>
  <c r="Q13" i="7"/>
  <c r="Q14" i="7"/>
  <c r="Q15" i="7"/>
  <c r="Q16" i="7"/>
  <c r="Q17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Q6" i="7"/>
  <c r="C6" i="7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M6" i="6"/>
  <c r="C6" i="6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X7" i="5"/>
  <c r="Q7" i="5"/>
  <c r="K7" i="5"/>
  <c r="C7" i="5"/>
  <c r="X8" i="4"/>
  <c r="X9" i="4"/>
  <c r="X10" i="4"/>
  <c r="X11" i="4"/>
  <c r="X12" i="4"/>
  <c r="X13" i="4"/>
  <c r="X14" i="4"/>
  <c r="X15" i="4"/>
  <c r="X16" i="4"/>
  <c r="P8" i="4"/>
  <c r="P9" i="4"/>
  <c r="P10" i="4"/>
  <c r="P11" i="4"/>
  <c r="P12" i="4"/>
  <c r="P13" i="4"/>
  <c r="P14" i="4"/>
  <c r="P15" i="4"/>
  <c r="P16" i="4"/>
  <c r="K8" i="4"/>
  <c r="K9" i="4"/>
  <c r="K10" i="4"/>
  <c r="K11" i="4"/>
  <c r="K12" i="4"/>
  <c r="K13" i="4"/>
  <c r="K14" i="4"/>
  <c r="K15" i="4"/>
  <c r="K16" i="4"/>
  <c r="C8" i="4"/>
  <c r="C9" i="4"/>
  <c r="C10" i="4"/>
  <c r="C11" i="4"/>
  <c r="C12" i="4"/>
  <c r="C13" i="4"/>
  <c r="C14" i="4"/>
  <c r="C15" i="4"/>
  <c r="C16" i="4"/>
  <c r="X7" i="4"/>
  <c r="P7" i="4"/>
  <c r="K7" i="4"/>
  <c r="C7" i="4"/>
  <c r="W8" i="3"/>
  <c r="W9" i="3"/>
  <c r="W10" i="3"/>
  <c r="W11" i="3"/>
  <c r="O8" i="3"/>
  <c r="O9" i="3"/>
  <c r="O10" i="3"/>
  <c r="O11" i="3"/>
  <c r="K8" i="3"/>
  <c r="K9" i="3"/>
  <c r="K10" i="3"/>
  <c r="K11" i="3"/>
  <c r="C8" i="3"/>
  <c r="C9" i="3"/>
  <c r="C10" i="3"/>
  <c r="C11" i="3"/>
  <c r="W7" i="3"/>
  <c r="O7" i="3"/>
  <c r="K7" i="3"/>
  <c r="C7" i="3"/>
  <c r="W8" i="2"/>
  <c r="W9" i="2"/>
  <c r="W10" i="2"/>
  <c r="W11" i="2"/>
  <c r="W7" i="2"/>
  <c r="O8" i="2"/>
  <c r="O9" i="2"/>
  <c r="O10" i="2"/>
  <c r="O11" i="2"/>
  <c r="O7" i="2"/>
  <c r="K8" i="2"/>
  <c r="K9" i="2"/>
  <c r="K10" i="2"/>
  <c r="K11" i="2"/>
  <c r="K7" i="2"/>
  <c r="C8" i="2"/>
  <c r="C9" i="2"/>
  <c r="C10" i="2"/>
  <c r="C11" i="2"/>
  <c r="C12" i="2"/>
  <c r="C7" i="2"/>
  <c r="J42" i="17"/>
  <c r="E17" i="17"/>
  <c r="S8" i="17" s="1"/>
  <c r="S9" i="17" s="1"/>
  <c r="E15" i="17"/>
  <c r="Q8" i="17" s="1"/>
  <c r="E14" i="17"/>
  <c r="P8" i="17" s="1"/>
  <c r="E13" i="17"/>
  <c r="E12" i="17"/>
  <c r="N8" i="17" s="1"/>
  <c r="O8" i="17"/>
  <c r="O9" i="17" s="1"/>
  <c r="E8" i="17"/>
  <c r="M8" i="17" s="1"/>
  <c r="E7" i="17"/>
  <c r="L8" i="17" s="1"/>
  <c r="E6" i="17"/>
  <c r="K8" i="17" s="1"/>
  <c r="E5" i="17"/>
  <c r="J8" i="17" s="1"/>
  <c r="J42" i="16"/>
  <c r="E17" i="16"/>
  <c r="E15" i="16"/>
  <c r="Q8" i="16" s="1"/>
  <c r="Q9" i="16" s="1"/>
  <c r="E14" i="16"/>
  <c r="P8" i="16" s="1"/>
  <c r="E13" i="16"/>
  <c r="O8" i="16" s="1"/>
  <c r="E12" i="16"/>
  <c r="N8" i="16" s="1"/>
  <c r="S8" i="16"/>
  <c r="S9" i="16" s="1"/>
  <c r="E8" i="16"/>
  <c r="M8" i="16" s="1"/>
  <c r="E7" i="16"/>
  <c r="L8" i="16" s="1"/>
  <c r="E6" i="16"/>
  <c r="K8" i="16" s="1"/>
  <c r="E5" i="16"/>
  <c r="J8" i="16" s="1"/>
  <c r="J42" i="15"/>
  <c r="E17" i="15"/>
  <c r="E15" i="15"/>
  <c r="E14" i="15"/>
  <c r="P8" i="15" s="1"/>
  <c r="E13" i="15"/>
  <c r="O8" i="15" s="1"/>
  <c r="E12" i="15"/>
  <c r="N8" i="15" s="1"/>
  <c r="N9" i="15" s="1"/>
  <c r="S8" i="15"/>
  <c r="S9" i="15" s="1"/>
  <c r="Q8" i="15"/>
  <c r="Q9" i="15" s="1"/>
  <c r="E8" i="15"/>
  <c r="M8" i="15" s="1"/>
  <c r="M9" i="15" s="1"/>
  <c r="E7" i="15"/>
  <c r="L8" i="15" s="1"/>
  <c r="L9" i="15" s="1"/>
  <c r="E6" i="15"/>
  <c r="K8" i="15" s="1"/>
  <c r="K9" i="15" s="1"/>
  <c r="E5" i="15"/>
  <c r="J8" i="15" s="1"/>
  <c r="J9" i="15" s="1"/>
  <c r="R31" i="14" l="1"/>
  <c r="R11" i="15"/>
  <c r="N9" i="17"/>
  <c r="N23" i="17"/>
  <c r="O23" i="17"/>
  <c r="O24" i="17"/>
  <c r="J23" i="17"/>
  <c r="J9" i="17"/>
  <c r="K23" i="17"/>
  <c r="K9" i="17"/>
  <c r="L9" i="17"/>
  <c r="L23" i="17"/>
  <c r="N24" i="17"/>
  <c r="S24" i="17"/>
  <c r="S26" i="17" s="1"/>
  <c r="M23" i="17"/>
  <c r="M9" i="17"/>
  <c r="P9" i="17"/>
  <c r="P23" i="17"/>
  <c r="Q9" i="17"/>
  <c r="Q23" i="17"/>
  <c r="S23" i="17"/>
  <c r="Q24" i="16"/>
  <c r="N9" i="16"/>
  <c r="N23" i="16"/>
  <c r="P9" i="16"/>
  <c r="P23" i="16"/>
  <c r="J23" i="16"/>
  <c r="J9" i="16"/>
  <c r="S24" i="16"/>
  <c r="S26" i="16" s="1"/>
  <c r="K9" i="16"/>
  <c r="K23" i="16"/>
  <c r="M9" i="16"/>
  <c r="M23" i="16"/>
  <c r="O23" i="16"/>
  <c r="O9" i="16"/>
  <c r="L9" i="16"/>
  <c r="L23" i="16"/>
  <c r="Q23" i="16"/>
  <c r="S23" i="16"/>
  <c r="N24" i="15"/>
  <c r="J23" i="15"/>
  <c r="Q24" i="15"/>
  <c r="O9" i="15"/>
  <c r="O23" i="15"/>
  <c r="P9" i="15"/>
  <c r="P23" i="15"/>
  <c r="K23" i="15"/>
  <c r="M23" i="15"/>
  <c r="S24" i="15"/>
  <c r="S26" i="15" s="1"/>
  <c r="L23" i="15"/>
  <c r="N23" i="15"/>
  <c r="Q23" i="15"/>
  <c r="S23" i="15"/>
  <c r="P24" i="17" l="1"/>
  <c r="M24" i="17"/>
  <c r="J24" i="17"/>
  <c r="L24" i="17"/>
  <c r="Q24" i="17"/>
  <c r="K24" i="17"/>
  <c r="J24" i="16"/>
  <c r="K24" i="16"/>
  <c r="L24" i="16"/>
  <c r="P24" i="16"/>
  <c r="O24" i="16"/>
  <c r="N24" i="16"/>
  <c r="M24" i="16"/>
  <c r="J24" i="15"/>
  <c r="M24" i="15"/>
  <c r="K24" i="15"/>
  <c r="P24" i="15"/>
  <c r="O24" i="15"/>
  <c r="L24" i="15"/>
  <c r="C6" i="2" l="1"/>
  <c r="E17" i="14" l="1"/>
  <c r="E13" i="14"/>
  <c r="E14" i="14"/>
  <c r="E15" i="14"/>
  <c r="E12" i="14"/>
  <c r="N8" i="14" s="1"/>
  <c r="E6" i="14"/>
  <c r="E7" i="14"/>
  <c r="E8" i="14"/>
  <c r="E5" i="14"/>
  <c r="J42" i="14"/>
  <c r="L8" i="14" l="1"/>
  <c r="N23" i="14"/>
  <c r="N9" i="14"/>
  <c r="S8" i="14"/>
  <c r="Q8" i="14"/>
  <c r="P8" i="14"/>
  <c r="O8" i="14"/>
  <c r="M8" i="14"/>
  <c r="K8" i="14"/>
  <c r="J8" i="14"/>
  <c r="J23" i="14" l="1"/>
  <c r="J9" i="14"/>
  <c r="K23" i="14"/>
  <c r="K9" i="14"/>
  <c r="L23" i="14"/>
  <c r="L9" i="14"/>
  <c r="M23" i="14"/>
  <c r="M9" i="14"/>
  <c r="O23" i="14"/>
  <c r="O9" i="14"/>
  <c r="P23" i="14"/>
  <c r="P9" i="14"/>
  <c r="Q23" i="14"/>
  <c r="Q9" i="14"/>
  <c r="S23" i="14"/>
  <c r="S9" i="14"/>
  <c r="N24" i="14"/>
  <c r="K17" i="13"/>
  <c r="K15" i="13"/>
  <c r="K14" i="13"/>
  <c r="K13" i="13"/>
  <c r="K12" i="13"/>
  <c r="K8" i="13"/>
  <c r="K7" i="13"/>
  <c r="K6" i="13"/>
  <c r="K5" i="13"/>
  <c r="E17" i="13"/>
  <c r="E15" i="13"/>
  <c r="E14" i="13"/>
  <c r="E13" i="13"/>
  <c r="E12" i="13"/>
  <c r="E8" i="13"/>
  <c r="E7" i="13"/>
  <c r="E6" i="13"/>
  <c r="E5" i="13"/>
  <c r="S24" i="14" l="1"/>
  <c r="S26" i="14" s="1"/>
  <c r="Q24" i="14"/>
  <c r="P24" i="14"/>
  <c r="O24" i="14"/>
  <c r="M24" i="14"/>
  <c r="L24" i="14"/>
  <c r="K24" i="14"/>
  <c r="J24" i="14"/>
  <c r="V9" i="13"/>
  <c r="V24" i="13" s="1"/>
  <c r="S42" i="13" l="1"/>
  <c r="R42" i="13"/>
  <c r="U42" i="13" l="1"/>
  <c r="AC20" i="13"/>
  <c r="AD20" i="13"/>
  <c r="AE20" i="13"/>
  <c r="AF20" i="13"/>
  <c r="AG20" i="13"/>
  <c r="AH20" i="13"/>
  <c r="AI20" i="13"/>
  <c r="AJ20" i="13"/>
  <c r="AK20" i="13"/>
  <c r="AJ23" i="13"/>
  <c r="V23" i="13"/>
  <c r="AC6" i="13"/>
  <c r="AD6" i="13"/>
  <c r="AE6" i="13"/>
  <c r="AF6" i="13"/>
  <c r="AG6" i="13"/>
  <c r="AH6" i="13"/>
  <c r="AI6" i="13"/>
  <c r="AI21" i="13" s="1"/>
  <c r="AJ6" i="13"/>
  <c r="AK6" i="13"/>
  <c r="AC7" i="13"/>
  <c r="AC22" i="13" s="1"/>
  <c r="AD7" i="13"/>
  <c r="AD22" i="13" s="1"/>
  <c r="AE7" i="13"/>
  <c r="AE22" i="13" s="1"/>
  <c r="AF7" i="13"/>
  <c r="AF22" i="13" s="1"/>
  <c r="AG7" i="13"/>
  <c r="AG22" i="13" s="1"/>
  <c r="AH7" i="13"/>
  <c r="AH22" i="13" s="1"/>
  <c r="AI7" i="13"/>
  <c r="AI22" i="13" s="1"/>
  <c r="AJ7" i="13"/>
  <c r="AJ22" i="13" s="1"/>
  <c r="AK7" i="13"/>
  <c r="AK22" i="13" s="1"/>
  <c r="AH21" i="13" l="1"/>
  <c r="AD21" i="13"/>
  <c r="AE21" i="13"/>
  <c r="AK21" i="13"/>
  <c r="AG21" i="13"/>
  <c r="AC21" i="13"/>
  <c r="AJ9" i="13"/>
  <c r="AJ24" i="13" s="1"/>
  <c r="AJ21" i="13"/>
  <c r="AF21" i="13"/>
  <c r="M16" i="1" l="1"/>
  <c r="G13" i="1"/>
  <c r="G12" i="1"/>
  <c r="G10" i="1"/>
  <c r="G9" i="1"/>
  <c r="G8" i="1"/>
  <c r="G7" i="1"/>
  <c r="G5" i="1"/>
  <c r="G4" i="1"/>
  <c r="G3" i="1"/>
  <c r="G2" i="1"/>
  <c r="Z10" i="13" l="1"/>
  <c r="AK10" i="13" s="1"/>
  <c r="S10" i="17"/>
  <c r="S11" i="17" s="1"/>
  <c r="S10" i="15"/>
  <c r="S11" i="15" s="1"/>
  <c r="S10" i="16"/>
  <c r="S11" i="16" s="1"/>
  <c r="S10" i="14"/>
  <c r="S11" i="14" s="1"/>
  <c r="AK8" i="13"/>
  <c r="AI8" i="13"/>
  <c r="AH8" i="13"/>
  <c r="AG8" i="13"/>
  <c r="AF8" i="13"/>
  <c r="AE8" i="13"/>
  <c r="AD8" i="13"/>
  <c r="AC8" i="13"/>
  <c r="Z8" i="13"/>
  <c r="Y8" i="13"/>
  <c r="X8" i="13"/>
  <c r="W8" i="13"/>
  <c r="U8" i="13"/>
  <c r="T8" i="13"/>
  <c r="S8" i="13"/>
  <c r="R8" i="13"/>
  <c r="AE23" i="13" l="1"/>
  <c r="AE9" i="13"/>
  <c r="Z9" i="13"/>
  <c r="Z23" i="13"/>
  <c r="AF23" i="13"/>
  <c r="AF9" i="13"/>
  <c r="AK23" i="13"/>
  <c r="AK9" i="13"/>
  <c r="U9" i="13"/>
  <c r="U23" i="13"/>
  <c r="AI23" i="13"/>
  <c r="AI9" i="13"/>
  <c r="S9" i="13"/>
  <c r="S23" i="13"/>
  <c r="W9" i="13"/>
  <c r="W23" i="13"/>
  <c r="AC23" i="13"/>
  <c r="AC9" i="13"/>
  <c r="AG23" i="13"/>
  <c r="AG9" i="13"/>
  <c r="Y9" i="13"/>
  <c r="Y23" i="13"/>
  <c r="R9" i="13"/>
  <c r="R23" i="13"/>
  <c r="T9" i="13"/>
  <c r="T23" i="13"/>
  <c r="X9" i="13"/>
  <c r="X23" i="13"/>
  <c r="AD23" i="13"/>
  <c r="AD9" i="13"/>
  <c r="AH23" i="13"/>
  <c r="AH9" i="13"/>
  <c r="H16" i="12"/>
  <c r="G16" i="12"/>
  <c r="G14" i="12"/>
  <c r="G13" i="12"/>
  <c r="G12" i="12"/>
  <c r="G11" i="12"/>
  <c r="G7" i="12"/>
  <c r="G6" i="12"/>
  <c r="G5" i="12"/>
  <c r="G4" i="12"/>
  <c r="AH24" i="13" l="1"/>
  <c r="X24" i="13"/>
  <c r="Z24" i="13"/>
  <c r="Z26" i="13" s="1"/>
  <c r="Z11" i="13"/>
  <c r="AK24" i="13"/>
  <c r="AK26" i="13" s="1"/>
  <c r="AK11" i="13"/>
  <c r="R24" i="13"/>
  <c r="AD24" i="13"/>
  <c r="AC24" i="13"/>
  <c r="AF24" i="13"/>
  <c r="AE24" i="13"/>
  <c r="AG24" i="13"/>
  <c r="AI24" i="13"/>
  <c r="W24" i="13"/>
  <c r="T24" i="13"/>
  <c r="Y24" i="13"/>
  <c r="S24" i="13"/>
  <c r="U24" i="13"/>
  <c r="J7" i="1"/>
  <c r="J8" i="1"/>
  <c r="J9" i="1"/>
  <c r="J10" i="1"/>
  <c r="X6" i="4"/>
  <c r="J5" i="1"/>
  <c r="J4" i="1"/>
  <c r="J3" i="1"/>
  <c r="J2" i="1"/>
  <c r="F16" i="10" l="1"/>
  <c r="M5" i="9"/>
  <c r="N5" i="8"/>
  <c r="M5" i="6"/>
  <c r="Q5" i="7"/>
  <c r="X6" i="5"/>
  <c r="Q6" i="5"/>
  <c r="P6" i="4" l="1"/>
  <c r="O6" i="3"/>
  <c r="W6" i="3"/>
  <c r="O12" i="3" l="1"/>
  <c r="W12" i="2"/>
  <c r="C5" i="7"/>
  <c r="M22" i="6" l="1"/>
  <c r="W12" i="3"/>
  <c r="S16" i="3" s="1"/>
  <c r="P17" i="4"/>
  <c r="X17" i="4"/>
  <c r="G11" i="10"/>
  <c r="K7" i="1" s="1"/>
  <c r="M34" i="9"/>
  <c r="Q18" i="7"/>
  <c r="X27" i="5"/>
  <c r="Q27" i="5"/>
  <c r="O12" i="2"/>
  <c r="R15" i="2" s="1"/>
  <c r="C5" i="8"/>
  <c r="K6" i="5"/>
  <c r="K6" i="4"/>
  <c r="K6" i="3"/>
  <c r="K6" i="2"/>
  <c r="C6" i="5"/>
  <c r="C5" i="6"/>
  <c r="O25" i="14" l="1"/>
  <c r="O26" i="14" s="1"/>
  <c r="O25" i="15"/>
  <c r="O26" i="15" s="1"/>
  <c r="O25" i="17"/>
  <c r="O26" i="17" s="1"/>
  <c r="O25" i="16"/>
  <c r="O26" i="16" s="1"/>
  <c r="P25" i="14"/>
  <c r="P26" i="14" s="1"/>
  <c r="P25" i="15"/>
  <c r="P26" i="15" s="1"/>
  <c r="P25" i="16"/>
  <c r="P26" i="16" s="1"/>
  <c r="P25" i="17"/>
  <c r="P26" i="17" s="1"/>
  <c r="K25" i="14"/>
  <c r="K26" i="14" s="1"/>
  <c r="K25" i="17"/>
  <c r="K26" i="17" s="1"/>
  <c r="K25" i="16"/>
  <c r="K26" i="16" s="1"/>
  <c r="K25" i="15"/>
  <c r="K26" i="15" s="1"/>
  <c r="J25" i="14"/>
  <c r="J26" i="14" s="1"/>
  <c r="J25" i="17"/>
  <c r="J26" i="17" s="1"/>
  <c r="J25" i="16"/>
  <c r="J26" i="16" s="1"/>
  <c r="J25" i="15"/>
  <c r="J26" i="15" s="1"/>
  <c r="N25" i="14"/>
  <c r="N26" i="14" s="1"/>
  <c r="N25" i="17"/>
  <c r="N26" i="17" s="1"/>
  <c r="N25" i="16"/>
  <c r="N26" i="16" s="1"/>
  <c r="N25" i="15"/>
  <c r="N26" i="15" s="1"/>
  <c r="AC25" i="13"/>
  <c r="AC26" i="13" s="1"/>
  <c r="R25" i="13"/>
  <c r="R26" i="13" s="1"/>
  <c r="AH25" i="13"/>
  <c r="AH26" i="13" s="1"/>
  <c r="W25" i="13"/>
  <c r="W26" i="13" s="1"/>
  <c r="AJ25" i="13"/>
  <c r="AJ26" i="13" s="1"/>
  <c r="Y25" i="13"/>
  <c r="Y26" i="13" s="1"/>
  <c r="AI25" i="13"/>
  <c r="AI26" i="13" s="1"/>
  <c r="X25" i="13"/>
  <c r="X26" i="13" s="1"/>
  <c r="AD25" i="13"/>
  <c r="AD26" i="13" s="1"/>
  <c r="S25" i="13"/>
  <c r="S26" i="13" s="1"/>
  <c r="I11" i="12"/>
  <c r="AG25" i="13"/>
  <c r="AG26" i="13" s="1"/>
  <c r="V25" i="13"/>
  <c r="V26" i="13" s="1"/>
  <c r="G5" i="10"/>
  <c r="K3" i="1" s="1"/>
  <c r="I5" i="12"/>
  <c r="G4" i="10"/>
  <c r="K2" i="1" s="1"/>
  <c r="I4" i="12"/>
  <c r="G14" i="10"/>
  <c r="I14" i="12"/>
  <c r="G13" i="10"/>
  <c r="K9" i="1" s="1"/>
  <c r="I13" i="12"/>
  <c r="G12" i="10"/>
  <c r="K8" i="1" s="1"/>
  <c r="I12" i="12"/>
  <c r="C35" i="6"/>
  <c r="C45" i="8"/>
  <c r="F13" i="10" s="1"/>
  <c r="U18" i="4"/>
  <c r="S29" i="5"/>
  <c r="K12" i="3"/>
  <c r="K27" i="5"/>
  <c r="K12" i="2"/>
  <c r="C47" i="9"/>
  <c r="Y10" i="13" s="1"/>
  <c r="K17" i="4"/>
  <c r="C31" i="7"/>
  <c r="C27" i="5"/>
  <c r="C6" i="4"/>
  <c r="C17" i="4" s="1"/>
  <c r="C6" i="3"/>
  <c r="N10" i="14" l="1"/>
  <c r="N11" i="14" s="1"/>
  <c r="N31" i="14" s="1"/>
  <c r="N10" i="17"/>
  <c r="N11" i="17" s="1"/>
  <c r="N31" i="17" s="1"/>
  <c r="N10" i="16"/>
  <c r="N11" i="16" s="1"/>
  <c r="N31" i="16" s="1"/>
  <c r="N10" i="15"/>
  <c r="N11" i="15" s="1"/>
  <c r="N31" i="15" s="1"/>
  <c r="O10" i="15"/>
  <c r="O11" i="15" s="1"/>
  <c r="O31" i="15" s="1"/>
  <c r="O10" i="16"/>
  <c r="O11" i="16" s="1"/>
  <c r="O31" i="16" s="1"/>
  <c r="O10" i="17"/>
  <c r="O11" i="17" s="1"/>
  <c r="O31" i="17" s="1"/>
  <c r="L25" i="14"/>
  <c r="L26" i="14" s="1"/>
  <c r="L25" i="15"/>
  <c r="L26" i="15" s="1"/>
  <c r="L25" i="17"/>
  <c r="L26" i="17" s="1"/>
  <c r="L25" i="16"/>
  <c r="L26" i="16" s="1"/>
  <c r="Q25" i="15"/>
  <c r="Q26" i="15" s="1"/>
  <c r="Q25" i="16"/>
  <c r="Q26" i="16" s="1"/>
  <c r="Q25" i="17"/>
  <c r="Q26" i="17" s="1"/>
  <c r="M25" i="14"/>
  <c r="M26" i="14" s="1"/>
  <c r="M25" i="15"/>
  <c r="M26" i="15" s="1"/>
  <c r="M25" i="17"/>
  <c r="M26" i="17" s="1"/>
  <c r="M25" i="16"/>
  <c r="M26" i="16" s="1"/>
  <c r="P10" i="14"/>
  <c r="P11" i="14" s="1"/>
  <c r="P31" i="14" s="1"/>
  <c r="P10" i="16"/>
  <c r="P11" i="16" s="1"/>
  <c r="P31" i="16" s="1"/>
  <c r="P10" i="17"/>
  <c r="P11" i="17" s="1"/>
  <c r="P31" i="17" s="1"/>
  <c r="P10" i="15"/>
  <c r="P11" i="15" s="1"/>
  <c r="P31" i="15" s="1"/>
  <c r="K10" i="1"/>
  <c r="Q25" i="14"/>
  <c r="Q26" i="14" s="1"/>
  <c r="J28" i="14" s="1"/>
  <c r="J37" i="14" s="1"/>
  <c r="W10" i="13"/>
  <c r="AH10" i="13" s="1"/>
  <c r="AH11" i="13" s="1"/>
  <c r="O10" i="14"/>
  <c r="O11" i="14" s="1"/>
  <c r="O31" i="14" s="1"/>
  <c r="W11" i="13"/>
  <c r="AJ10" i="13"/>
  <c r="AJ11" i="13" s="1"/>
  <c r="Y11" i="13"/>
  <c r="AF25" i="13"/>
  <c r="AF26" i="13" s="1"/>
  <c r="U25" i="13"/>
  <c r="U26" i="13" s="1"/>
  <c r="AE25" i="13"/>
  <c r="AE26" i="13" s="1"/>
  <c r="T25" i="13"/>
  <c r="T26" i="13" s="1"/>
  <c r="H13" i="12"/>
  <c r="X10" i="13"/>
  <c r="H11" i="12"/>
  <c r="V10" i="13"/>
  <c r="F11" i="10"/>
  <c r="G7" i="10"/>
  <c r="K5" i="1" s="1"/>
  <c r="I7" i="12"/>
  <c r="G6" i="10"/>
  <c r="K4" i="1" s="1"/>
  <c r="I6" i="12"/>
  <c r="F14" i="10"/>
  <c r="H14" i="12"/>
  <c r="F12" i="10"/>
  <c r="H12" i="12"/>
  <c r="G29" i="5"/>
  <c r="G18" i="4"/>
  <c r="C12" i="3"/>
  <c r="G16" i="3" s="1"/>
  <c r="J38" i="14" l="1"/>
  <c r="B6" i="18" s="1"/>
  <c r="B5" i="18"/>
  <c r="J28" i="16"/>
  <c r="J37" i="16" s="1"/>
  <c r="J28" i="17"/>
  <c r="J37" i="17" s="1"/>
  <c r="J28" i="15"/>
  <c r="J37" i="15" s="1"/>
  <c r="M10" i="17"/>
  <c r="M11" i="17" s="1"/>
  <c r="M31" i="17" s="1"/>
  <c r="M10" i="15"/>
  <c r="M11" i="15" s="1"/>
  <c r="M31" i="15" s="1"/>
  <c r="M10" i="16"/>
  <c r="M11" i="16" s="1"/>
  <c r="M31" i="16" s="1"/>
  <c r="Q10" i="14"/>
  <c r="Q11" i="14" s="1"/>
  <c r="Q31" i="14" s="1"/>
  <c r="Q10" i="17"/>
  <c r="Q11" i="17" s="1"/>
  <c r="Q31" i="17" s="1"/>
  <c r="Q10" i="16"/>
  <c r="Q11" i="16" s="1"/>
  <c r="Q31" i="16" s="1"/>
  <c r="Q10" i="15"/>
  <c r="Q11" i="15" s="1"/>
  <c r="Q31" i="15" s="1"/>
  <c r="R28" i="13"/>
  <c r="R37" i="13" s="1"/>
  <c r="R38" i="13" s="1"/>
  <c r="K10" i="16"/>
  <c r="K11" i="16" s="1"/>
  <c r="K31" i="16" s="1"/>
  <c r="K10" i="17"/>
  <c r="K11" i="17" s="1"/>
  <c r="K31" i="17" s="1"/>
  <c r="K10" i="15"/>
  <c r="K11" i="15" s="1"/>
  <c r="K31" i="15" s="1"/>
  <c r="L10" i="16"/>
  <c r="L11" i="16" s="1"/>
  <c r="L31" i="16" s="1"/>
  <c r="L10" i="15"/>
  <c r="L11" i="15" s="1"/>
  <c r="L31" i="15" s="1"/>
  <c r="L10" i="17"/>
  <c r="L11" i="17" s="1"/>
  <c r="L31" i="17" s="1"/>
  <c r="AC28" i="13"/>
  <c r="S37" i="13" s="1"/>
  <c r="S38" i="13" s="1"/>
  <c r="U10" i="13"/>
  <c r="U11" i="13" s="1"/>
  <c r="M10" i="14"/>
  <c r="M11" i="14" s="1"/>
  <c r="M31" i="14" s="1"/>
  <c r="T10" i="13"/>
  <c r="T11" i="13" s="1"/>
  <c r="L10" i="14"/>
  <c r="L11" i="14" s="1"/>
  <c r="L31" i="14" s="1"/>
  <c r="S10" i="13"/>
  <c r="AD10" i="13" s="1"/>
  <c r="AD11" i="13" s="1"/>
  <c r="K10" i="14"/>
  <c r="K11" i="14" s="1"/>
  <c r="K31" i="14" s="1"/>
  <c r="AE10" i="13"/>
  <c r="AE11" i="13" s="1"/>
  <c r="V11" i="13"/>
  <c r="AG10" i="13"/>
  <c r="AG11" i="13" s="1"/>
  <c r="AI10" i="13"/>
  <c r="AI11" i="13" s="1"/>
  <c r="X11" i="13"/>
  <c r="F6" i="10"/>
  <c r="H6" i="12"/>
  <c r="F5" i="10"/>
  <c r="H5" i="12"/>
  <c r="F7" i="10"/>
  <c r="H7" i="12"/>
  <c r="F16" i="2"/>
  <c r="J38" i="16" l="1"/>
  <c r="D6" i="18" s="1"/>
  <c r="D5" i="18"/>
  <c r="J38" i="17"/>
  <c r="C6" i="18" s="1"/>
  <c r="C5" i="18"/>
  <c r="J38" i="15"/>
  <c r="E6" i="18" s="1"/>
  <c r="E5" i="18"/>
  <c r="S11" i="13"/>
  <c r="AF10" i="13"/>
  <c r="AF11" i="13" s="1"/>
  <c r="J10" i="17"/>
  <c r="J11" i="17" s="1"/>
  <c r="J10" i="16"/>
  <c r="J11" i="16" s="1"/>
  <c r="J10" i="15"/>
  <c r="J11" i="15" s="1"/>
  <c r="R10" i="13"/>
  <c r="J10" i="14"/>
  <c r="J11" i="14" s="1"/>
  <c r="AC10" i="13"/>
  <c r="AC11" i="13" s="1"/>
  <c r="AC13" i="13" s="1"/>
  <c r="S35" i="13" s="1"/>
  <c r="R11" i="13"/>
  <c r="F4" i="10"/>
  <c r="H4" i="12"/>
  <c r="R13" i="13" l="1"/>
  <c r="R35" i="13" s="1"/>
  <c r="R36" i="13" s="1"/>
  <c r="J31" i="16"/>
  <c r="J13" i="16"/>
  <c r="J35" i="16" s="1"/>
  <c r="D3" i="18" s="1"/>
  <c r="J31" i="17"/>
  <c r="J13" i="17"/>
  <c r="J35" i="17" s="1"/>
  <c r="C3" i="18" s="1"/>
  <c r="J31" i="15"/>
  <c r="J13" i="15"/>
  <c r="J35" i="15" s="1"/>
  <c r="E3" i="18" s="1"/>
  <c r="J31" i="14"/>
  <c r="J13" i="14"/>
  <c r="J35" i="14" s="1"/>
  <c r="B3" i="18" s="1"/>
  <c r="S39" i="13"/>
  <c r="S40" i="13" s="1"/>
  <c r="S36" i="13"/>
  <c r="R39" i="13" l="1"/>
  <c r="R40" i="13" s="1"/>
  <c r="R43" i="13" s="1"/>
  <c r="J39" i="17"/>
  <c r="J36" i="17"/>
  <c r="C4" i="18" s="1"/>
  <c r="J36" i="15"/>
  <c r="E4" i="18" s="1"/>
  <c r="J39" i="15"/>
  <c r="J39" i="16"/>
  <c r="J36" i="16"/>
  <c r="D4" i="18" s="1"/>
  <c r="J36" i="14"/>
  <c r="B4" i="18" s="1"/>
  <c r="J39" i="14"/>
  <c r="S43" i="13"/>
  <c r="J40" i="14" l="1"/>
  <c r="B7" i="18"/>
  <c r="J40" i="17"/>
  <c r="C7" i="18"/>
  <c r="J40" i="16"/>
  <c r="D7" i="18"/>
  <c r="J40" i="15"/>
  <c r="E7" i="18"/>
  <c r="U40" i="13"/>
  <c r="U43" i="13" s="1"/>
  <c r="J43" i="14" l="1"/>
  <c r="B11" i="18" s="1"/>
  <c r="B8" i="18"/>
  <c r="J43" i="17"/>
  <c r="C11" i="18" s="1"/>
  <c r="C8" i="18"/>
  <c r="J43" i="16"/>
  <c r="D11" i="18" s="1"/>
  <c r="D8" i="18"/>
  <c r="J43" i="15"/>
  <c r="E11" i="18" s="1"/>
  <c r="E8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tc={DCFC1721-B343-406F-AEC6-AF8C50E5A449}</author>
  </authors>
  <commentList>
    <comment ref="J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annual cost of work days = annual lost days * average work hours per day * minimum wage per hour</t>
        </r>
      </text>
    </comment>
  </commentList>
</comments>
</file>

<file path=xl/sharedStrings.xml><?xml version="1.0" encoding="utf-8"?>
<sst xmlns="http://schemas.openxmlformats.org/spreadsheetml/2006/main" count="671" uniqueCount="162">
  <si>
    <t>COLORADO (N=18)</t>
  </si>
  <si>
    <t>WASHINGTON (N=57)</t>
  </si>
  <si>
    <t>Combined</t>
  </si>
  <si>
    <t>Colorado</t>
  </si>
  <si>
    <t>Washignton</t>
  </si>
  <si>
    <t>TYPE A DISEASES</t>
  </si>
  <si>
    <t>Disease Condition</t>
  </si>
  <si>
    <t>number of graduates practising ONB at entry</t>
  </si>
  <si>
    <t>number of graduates practising ONB at exit</t>
  </si>
  <si>
    <t>Difference</t>
  </si>
  <si>
    <t>percent of total achieving ONB at graduation</t>
  </si>
  <si>
    <t>Diff</t>
  </si>
  <si>
    <t>Colon Cancer</t>
  </si>
  <si>
    <t>Heart Disease</t>
  </si>
  <si>
    <t>Stroke</t>
  </si>
  <si>
    <t>Hypertention</t>
  </si>
  <si>
    <t>Osteoporosis</t>
  </si>
  <si>
    <t>Type 2 Diabeties</t>
  </si>
  <si>
    <t>Obesity</t>
  </si>
  <si>
    <t>Foodborne Illness</t>
  </si>
  <si>
    <t>Infant Diseases</t>
  </si>
  <si>
    <t>Colorectal Cancer</t>
  </si>
  <si>
    <t>annual number of graduates in EFNEP</t>
  </si>
  <si>
    <t>Heat disease</t>
  </si>
  <si>
    <t>Incidence rate of disease in the population</t>
  </si>
  <si>
    <t>stroke</t>
  </si>
  <si>
    <t>Incidence rate of disease cancer related to diet</t>
  </si>
  <si>
    <t>Percent of graduates practicing ONB related to disease</t>
  </si>
  <si>
    <t>TYPE B DISEASES</t>
  </si>
  <si>
    <t>Estimated number of graduates to accrue benefits</t>
  </si>
  <si>
    <t>Present value of benefit related to disease</t>
  </si>
  <si>
    <t>TOTAL DIRECT BENEFIT</t>
  </si>
  <si>
    <t>Type 2 dibeties</t>
  </si>
  <si>
    <t>SUM OF DIRECT BENEFITS</t>
  </si>
  <si>
    <t>Foodborne illness</t>
  </si>
  <si>
    <t>TYPE C DISEASES</t>
  </si>
  <si>
    <t xml:space="preserve">these were the graduates who had a change in behaviour at exit. ...................................In order for a given participant to be considered_x000D_
practicing ONB for a certain disease, the participant_x000D_
had to fail the qualifications at entry and pass them at_x000D_
exit. </t>
  </si>
  <si>
    <t>these were calculated as the percentage of the difference (number of graduates practicing ONB) divided by the total participants</t>
  </si>
  <si>
    <t xml:space="preserve">these were the graduates who had a change in behaviour at exit. .....................................In order for a given participant to be considered_x000D_
practicing ONB for a certain disease, the participant_x000D_
had to fail the qualifications at entry and pass them at_x000D_
exit. </t>
  </si>
  <si>
    <t>Present value of indirect benefit related to disease</t>
  </si>
  <si>
    <t>TOTAL INDIRECT BENEFIT</t>
  </si>
  <si>
    <t>SUM OF INDIRECT BENEFITS</t>
  </si>
  <si>
    <t>Annual number of graduates</t>
  </si>
  <si>
    <t>sum of direct benefits</t>
  </si>
  <si>
    <t>Direct benefit per graduate</t>
  </si>
  <si>
    <t>sum of indirect benefits</t>
  </si>
  <si>
    <t>indirect benefits per graduate</t>
  </si>
  <si>
    <t>total benefits</t>
  </si>
  <si>
    <t>total benefits per graduate</t>
  </si>
  <si>
    <t>costs</t>
  </si>
  <si>
    <t>costs per graduate</t>
  </si>
  <si>
    <t>benefit cost ratio</t>
  </si>
  <si>
    <t>ONB grads</t>
  </si>
  <si>
    <t>Incidence rate of ilness low-income population;</t>
  </si>
  <si>
    <t>Source</t>
  </si>
  <si>
    <t>the incidence of
the disease or condition that is related to diet</t>
  </si>
  <si>
    <t>PV of direct benefit</t>
  </si>
  <si>
    <t>PV of Indirect benefit</t>
  </si>
  <si>
    <t>8%(F)</t>
  </si>
  <si>
    <t>IOWA 2015</t>
  </si>
  <si>
    <t>Type B Diseases</t>
  </si>
  <si>
    <t>DOLAHITE</t>
  </si>
  <si>
    <t>Type C diseases</t>
  </si>
  <si>
    <t>These were from the CDC websites. where the figures were not found, I used estimates from Dollahite's cost-benefit analysis</t>
  </si>
  <si>
    <t>these figures are from the estimates provided in Dollahite's cost-benefit analysis of New York State EFNEP</t>
  </si>
  <si>
    <t>Calculations provided in the respective sheets in the workbook</t>
  </si>
  <si>
    <t>Difference (Colorado)</t>
  </si>
  <si>
    <t>percent of total achieving ONB conditions for each disease at graduation</t>
  </si>
  <si>
    <t>Total direct benefit</t>
  </si>
  <si>
    <t>Total Indirect benefit</t>
  </si>
  <si>
    <t>average age of participants</t>
  </si>
  <si>
    <t>Av. Age of onset</t>
  </si>
  <si>
    <t>Av. Years of survival</t>
  </si>
  <si>
    <t>No. of years onset delayed</t>
  </si>
  <si>
    <t>average lifespan</t>
  </si>
  <si>
    <t>Per patient cost adjusted to 2015 Dollars</t>
  </si>
  <si>
    <t xml:space="preserve">Average age of retirement </t>
  </si>
  <si>
    <t>Average number of annual lost work days</t>
  </si>
  <si>
    <t>Annual cost of lost work days</t>
  </si>
  <si>
    <t>Present value of lost earnings</t>
  </si>
  <si>
    <t>Heart disease</t>
  </si>
  <si>
    <t>Type 2 Diabetes</t>
  </si>
  <si>
    <t>Foodborne Illlness</t>
  </si>
  <si>
    <t>Low Birthweight</t>
  </si>
  <si>
    <t>2015 figures adjusted to 2019 figures.  This was done by multiplying 2015 figures with $1.078687 thus (CPI 2019/CPI2015)</t>
  </si>
  <si>
    <t xml:space="preserve">(CPI 2019/CPI2015) = </t>
  </si>
  <si>
    <t xml:space="preserve"> </t>
  </si>
  <si>
    <t xml:space="preserve">Present Value of Colorectal Cancer Direct Benefits </t>
  </si>
  <si>
    <t xml:space="preserve">Present Value of Colorectal Cancer Indirect Benefits </t>
  </si>
  <si>
    <t>Tangible Benefit</t>
  </si>
  <si>
    <t>Present value of Colorectal Cancer treatment cost if incured at age of onset</t>
  </si>
  <si>
    <t>Present value of Colorectal Cancer treatment cost if delayed for 5 years</t>
  </si>
  <si>
    <t>Present value of earnings from Colorectal Cancer if incured at average age of onset</t>
  </si>
  <si>
    <t>Present value of earnings from Colorectal Cancer if idelayed for 5 years</t>
  </si>
  <si>
    <t>Age</t>
  </si>
  <si>
    <t>year</t>
  </si>
  <si>
    <t>PV</t>
  </si>
  <si>
    <t>37-49</t>
  </si>
  <si>
    <t>37-54</t>
  </si>
  <si>
    <t>Total PV</t>
  </si>
  <si>
    <t>PV Tangible Inirect Benefit</t>
  </si>
  <si>
    <t>PV Tangible Direct Benefit</t>
  </si>
  <si>
    <t xml:space="preserve">Present Value of Heart Disease Direct Tangible Benefits </t>
  </si>
  <si>
    <t xml:space="preserve">Present Value of heart disease Indirect Benefits </t>
  </si>
  <si>
    <t>Present value of Heart disease treatment cost  if incured at age of onset</t>
  </si>
  <si>
    <t>Present value of Heart disease treatment cost if delayed for 5 years</t>
  </si>
  <si>
    <t>Present value of lost earnings from heart disease if incured at average age of onset</t>
  </si>
  <si>
    <t>Present value of lost earnings from heart disease if idelayed for 5 years</t>
  </si>
  <si>
    <t>37-59</t>
  </si>
  <si>
    <t>PV Tangible  Total Indirect</t>
  </si>
  <si>
    <t xml:space="preserve">Present Value of Stroke Direct Tangible Benefits </t>
  </si>
  <si>
    <t>Column2</t>
  </si>
  <si>
    <t>Column3</t>
  </si>
  <si>
    <t xml:space="preserve">Present Value of stroke Indirect Benefits </t>
  </si>
  <si>
    <t>Present value of Stroke treatment cost if incured at age of onset</t>
  </si>
  <si>
    <r>
      <t>Present value of stroke treatment cost if delayed for</t>
    </r>
    <r>
      <rPr>
        <b/>
        <u/>
        <sz val="11"/>
        <color theme="1"/>
        <rFont val="Calibri (Body)"/>
      </rPr>
      <t xml:space="preserve"> 10 </t>
    </r>
    <r>
      <rPr>
        <b/>
        <sz val="11"/>
        <color theme="1"/>
        <rFont val="Calibri"/>
        <family val="2"/>
        <scheme val="minor"/>
      </rPr>
      <t>years</t>
    </r>
  </si>
  <si>
    <t>Present value of lost earnings from stroke if incured at average age of onset</t>
  </si>
  <si>
    <t>Present value of lost earnings from stroke if idelayed for 5 years</t>
  </si>
  <si>
    <t>37-44</t>
  </si>
  <si>
    <t>Total</t>
  </si>
  <si>
    <t>PV Tangible Indirect benefit</t>
  </si>
  <si>
    <t xml:space="preserve">Present Value of Hypertension Direct Benefits </t>
  </si>
  <si>
    <t xml:space="preserve">Present Value of Hypertension Indirect Benefits </t>
  </si>
  <si>
    <t>Present value of Hypertension treatment costs if incured at age of onset</t>
  </si>
  <si>
    <t>Present value of Hypertension treatment costs if delayed for 5 years</t>
  </si>
  <si>
    <t>Present value of lost earnings from Hypertension if incured at average age of onset</t>
  </si>
  <si>
    <t>Present value of lost earnings from Hypertension if idelayed for 5 years</t>
  </si>
  <si>
    <t>37-41</t>
  </si>
  <si>
    <t>37-46</t>
  </si>
  <si>
    <t>PV Tangible Indirect Benefit</t>
  </si>
  <si>
    <t xml:space="preserve">Present Value of Osteoporosis Direct Benefits </t>
  </si>
  <si>
    <t xml:space="preserve">Present Value of Osteoporosis Indirect Benefits </t>
  </si>
  <si>
    <t>Tangible Indirect Benefit</t>
  </si>
  <si>
    <t>Present value of osteoporosis treatment costs if incured at age of onset</t>
  </si>
  <si>
    <t>Present value of lost earnings for Osteoporosis until retirement</t>
  </si>
  <si>
    <t>Total Indirect</t>
  </si>
  <si>
    <t>Total di PV</t>
  </si>
  <si>
    <t xml:space="preserve">Present Value of Type 2 Diabeties Direct Benefits </t>
  </si>
  <si>
    <t xml:space="preserve">Present Value of Type 2 Diabeties Indirect Benefits </t>
  </si>
  <si>
    <t xml:space="preserve">Present value of Type 2 Diabeties treatment costs if avoided for the rest of lifetime. </t>
  </si>
  <si>
    <t>Present value of lost earnings for Type 2 Diabeties until retirement</t>
  </si>
  <si>
    <t>37-53</t>
  </si>
  <si>
    <t>Total indirect</t>
  </si>
  <si>
    <t xml:space="preserve">Present Value of obesity direct Benefits </t>
  </si>
  <si>
    <t xml:space="preserve">Present Value of Obesity Indirect Benefits </t>
  </si>
  <si>
    <t>Present value of Obesity treatment costs if avoided until death</t>
  </si>
  <si>
    <t>Present value of lost earnings for Obesity until retirement</t>
  </si>
  <si>
    <t>37-39</t>
  </si>
  <si>
    <t xml:space="preserve">Should be 37-39	</t>
  </si>
  <si>
    <t>Should be 37-39</t>
  </si>
  <si>
    <t>Total PV Indirect benefit</t>
  </si>
  <si>
    <t xml:space="preserve">Present Value of foodborne illness direct Benefits </t>
  </si>
  <si>
    <t xml:space="preserve">Present Value of Foodborne illness Indirect Benefits </t>
  </si>
  <si>
    <t>Present value of foodborne illness if avoided until death</t>
  </si>
  <si>
    <t>Present value of lost earnings for  Foodborne illness until retirement</t>
  </si>
  <si>
    <t>treatment costs are incurred on a one-time basis (when the child is born). The direct benefit is based on avoiding the treatment costs associated with a LBW infant. This benefit is the present value of the treatment costs avoided.</t>
  </si>
  <si>
    <t>risk of disease as an increaase in biomarker</t>
  </si>
  <si>
    <t>Percent of graduates with improvement in biomarker</t>
  </si>
  <si>
    <t>Standard</t>
  </si>
  <si>
    <t>pre-post</t>
  </si>
  <si>
    <t>pre-6month</t>
  </si>
  <si>
    <t>pre-1yr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</si>
</sst>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  <numFmt numFmtId="167" formatCode="&quot;$&quot;#,##0.00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3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1" fillId="0" borderId="14" xfId="0" applyFont="1" applyBorder="1" applyAlignment="1">
      <alignment horizontal="center"/>
    </xf>
    <xf numFmtId="0" fontId="0" fillId="0" borderId="14" xfId="0" applyFont="1" applyBorder="1"/>
    <xf numFmtId="164" fontId="0" fillId="0" borderId="14" xfId="0" applyNumberFormat="1" applyFont="1" applyBorder="1"/>
    <xf numFmtId="0" fontId="0" fillId="2" borderId="14" xfId="0" applyFont="1" applyFill="1" applyBorder="1"/>
    <xf numFmtId="164" fontId="0" fillId="2" borderId="14" xfId="0" applyNumberFormat="1" applyFont="1" applyFill="1" applyBorder="1"/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/>
    <xf numFmtId="164" fontId="0" fillId="0" borderId="0" xfId="0" applyNumberFormat="1" applyFont="1" applyBorder="1"/>
    <xf numFmtId="0" fontId="1" fillId="0" borderId="14" xfId="0" applyFont="1" applyBorder="1"/>
    <xf numFmtId="164" fontId="1" fillId="0" borderId="14" xfId="0" applyNumberFormat="1" applyFont="1" applyBorder="1"/>
    <xf numFmtId="0" fontId="0" fillId="0" borderId="15" xfId="0" applyFont="1" applyBorder="1"/>
    <xf numFmtId="164" fontId="0" fillId="0" borderId="15" xfId="0" applyNumberFormat="1" applyFont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wrapText="1"/>
    </xf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1" fillId="0" borderId="13" xfId="0" applyFont="1" applyFill="1" applyBorder="1" applyAlignment="1">
      <alignment horizontal="center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8" xfId="0" applyFont="1" applyFill="1" applyBorder="1"/>
    <xf numFmtId="0" fontId="1" fillId="3" borderId="22" xfId="0" applyFont="1" applyFill="1" applyBorder="1" applyAlignment="1">
      <alignment wrapText="1"/>
    </xf>
    <xf numFmtId="0" fontId="1" fillId="3" borderId="22" xfId="0" applyFont="1" applyFill="1" applyBorder="1"/>
    <xf numFmtId="164" fontId="4" fillId="5" borderId="1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164" fontId="1" fillId="0" borderId="26" xfId="0" applyNumberFormat="1" applyFont="1" applyBorder="1"/>
    <xf numFmtId="0" fontId="3" fillId="0" borderId="2" xfId="0" applyNumberFormat="1" applyFont="1" applyFill="1" applyBorder="1" applyAlignment="1">
      <alignment horizontal="center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8" fontId="0" fillId="0" borderId="0" xfId="0" applyNumberFormat="1"/>
    <xf numFmtId="8" fontId="1" fillId="0" borderId="0" xfId="0" applyNumberFormat="1" applyFont="1"/>
    <xf numFmtId="0" fontId="0" fillId="2" borderId="18" xfId="0" applyFont="1" applyFill="1" applyBorder="1"/>
    <xf numFmtId="0" fontId="0" fillId="0" borderId="18" xfId="0" applyFont="1" applyBorder="1"/>
    <xf numFmtId="0" fontId="0" fillId="0" borderId="14" xfId="0" applyFont="1" applyBorder="1" applyAlignment="1"/>
    <xf numFmtId="0" fontId="0" fillId="0" borderId="0" xfId="0" applyFont="1" applyAlignment="1"/>
    <xf numFmtId="0" fontId="0" fillId="2" borderId="17" xfId="0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0" fontId="0" fillId="0" borderId="17" xfId="0" applyFont="1" applyBorder="1" applyAlignment="1">
      <alignment horizontal="center" vertical="center"/>
    </xf>
    <xf numFmtId="164" fontId="0" fillId="0" borderId="1" xfId="0" applyNumberFormat="1" applyFont="1" applyBorder="1"/>
    <xf numFmtId="0" fontId="3" fillId="4" borderId="27" xfId="0" applyFont="1" applyFill="1" applyBorder="1"/>
    <xf numFmtId="0" fontId="3" fillId="4" borderId="15" xfId="0" applyFont="1" applyFill="1" applyBorder="1"/>
    <xf numFmtId="164" fontId="3" fillId="4" borderId="28" xfId="0" applyNumberFormat="1" applyFont="1" applyFill="1" applyBorder="1"/>
    <xf numFmtId="0" fontId="0" fillId="2" borderId="18" xfId="0" applyFont="1" applyFill="1" applyBorder="1" applyAlignment="1"/>
    <xf numFmtId="0" fontId="0" fillId="0" borderId="18" xfId="0" applyFont="1" applyBorder="1" applyAlignment="1"/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44" fontId="0" fillId="0" borderId="0" xfId="1" applyFont="1"/>
    <xf numFmtId="44" fontId="1" fillId="0" borderId="0" xfId="1" applyFont="1" applyAlignment="1">
      <alignment vertical="center" wrapText="1"/>
    </xf>
    <xf numFmtId="44" fontId="0" fillId="0" borderId="2" xfId="0" applyNumberFormat="1" applyBorder="1" applyAlignment="1">
      <alignment horizontal="center"/>
    </xf>
    <xf numFmtId="44" fontId="1" fillId="0" borderId="24" xfId="1" applyFont="1" applyBorder="1" applyAlignment="1">
      <alignment horizontal="center"/>
    </xf>
    <xf numFmtId="0" fontId="1" fillId="0" borderId="4" xfId="0" applyFont="1" applyFill="1" applyBorder="1" applyAlignment="1"/>
    <xf numFmtId="0" fontId="0" fillId="0" borderId="0" xfId="0" applyFill="1"/>
    <xf numFmtId="0" fontId="1" fillId="0" borderId="9" xfId="0" applyFont="1" applyFill="1" applyBorder="1" applyAlignment="1"/>
    <xf numFmtId="0" fontId="1" fillId="0" borderId="0" xfId="0" applyFont="1" applyFill="1"/>
    <xf numFmtId="0" fontId="0" fillId="6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164" fontId="0" fillId="0" borderId="0" xfId="0" applyNumberFormat="1" applyFill="1"/>
    <xf numFmtId="0" fontId="0" fillId="0" borderId="0" xfId="0" quotePrefix="1" applyFill="1"/>
    <xf numFmtId="0" fontId="0" fillId="0" borderId="0" xfId="0" applyFont="1" applyBorder="1" applyAlignment="1"/>
    <xf numFmtId="0" fontId="1" fillId="0" borderId="0" xfId="0" applyFont="1" applyBorder="1" applyAlignment="1"/>
    <xf numFmtId="0" fontId="4" fillId="4" borderId="27" xfId="0" applyFont="1" applyFill="1" applyBorder="1"/>
    <xf numFmtId="0" fontId="4" fillId="4" borderId="15" xfId="0" applyFont="1" applyFill="1" applyBorder="1"/>
    <xf numFmtId="164" fontId="4" fillId="4" borderId="28" xfId="0" applyNumberFormat="1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/>
    <xf numFmtId="9" fontId="3" fillId="0" borderId="0" xfId="0" applyNumberFormat="1" applyFont="1" applyFill="1" applyBorder="1" applyAlignment="1">
      <alignment horizontal="center" vertical="center" wrapText="1"/>
    </xf>
    <xf numFmtId="9" fontId="0" fillId="0" borderId="0" xfId="0" applyNumberFormat="1" applyFont="1" applyFill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7" borderId="0" xfId="0" applyFill="1"/>
    <xf numFmtId="0" fontId="0" fillId="0" borderId="0" xfId="0" applyFill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Fill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 applyFill="1" applyBorder="1" applyAlignment="1">
      <alignment horizontal="center" wrapText="1"/>
    </xf>
    <xf numFmtId="0" fontId="0" fillId="7" borderId="0" xfId="0" applyNumberFormat="1" applyFill="1"/>
    <xf numFmtId="0" fontId="0" fillId="0" borderId="0" xfId="0" applyNumberFormat="1" applyAlignment="1">
      <alignment wrapText="1"/>
    </xf>
    <xf numFmtId="0" fontId="3" fillId="9" borderId="2" xfId="0" applyNumberFormat="1" applyFont="1" applyFill="1" applyBorder="1" applyAlignment="1">
      <alignment horizontal="center" vertical="center" wrapText="1"/>
    </xf>
    <xf numFmtId="0" fontId="3" fillId="8" borderId="2" xfId="0" applyNumberFormat="1" applyFont="1" applyFill="1" applyBorder="1" applyAlignment="1">
      <alignment horizontal="center" vertical="center" wrapText="1"/>
    </xf>
    <xf numFmtId="0" fontId="1" fillId="8" borderId="2" xfId="0" applyNumberFormat="1" applyFont="1" applyFill="1" applyBorder="1" applyAlignment="1">
      <alignment horizontal="center" vertical="center" wrapText="1"/>
    </xf>
    <xf numFmtId="0" fontId="1" fillId="8" borderId="2" xfId="2" applyNumberFormat="1" applyFont="1" applyFill="1" applyBorder="1" applyAlignment="1">
      <alignment horizontal="center" vertical="center" wrapText="1"/>
    </xf>
    <xf numFmtId="0" fontId="2" fillId="9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2" applyNumberFormat="1" applyFont="1" applyBorder="1" applyAlignment="1">
      <alignment horizontal="center" vertical="center"/>
    </xf>
    <xf numFmtId="166" fontId="0" fillId="0" borderId="2" xfId="0" applyNumberFormat="1" applyFont="1" applyFill="1" applyBorder="1" applyAlignment="1">
      <alignment horizontal="center" vertical="center"/>
    </xf>
    <xf numFmtId="9" fontId="0" fillId="0" borderId="2" xfId="0" applyNumberFormat="1" applyFont="1" applyFill="1" applyBorder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2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0" fontId="5" fillId="0" borderId="2" xfId="2" applyNumberFormat="1" applyFont="1" applyBorder="1" applyAlignment="1">
      <alignment horizontal="center" vertical="center"/>
    </xf>
    <xf numFmtId="0" fontId="0" fillId="7" borderId="0" xfId="0" applyFont="1" applyFill="1"/>
    <xf numFmtId="0" fontId="0" fillId="0" borderId="0" xfId="0" applyFont="1"/>
    <xf numFmtId="0" fontId="1" fillId="0" borderId="2" xfId="0" applyNumberFormat="1" applyFont="1" applyFill="1" applyBorder="1" applyAlignment="1">
      <alignment horizontal="center" wrapText="1"/>
    </xf>
    <xf numFmtId="166" fontId="3" fillId="0" borderId="2" xfId="0" applyNumberFormat="1" applyFont="1" applyFill="1" applyBorder="1" applyAlignment="1">
      <alignment horizontal="center" vertical="center" wrapText="1"/>
    </xf>
    <xf numFmtId="9" fontId="3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4" fontId="1" fillId="0" borderId="2" xfId="1" applyFont="1" applyBorder="1" applyAlignment="1">
      <alignment vertical="center" wrapText="1"/>
    </xf>
    <xf numFmtId="166" fontId="0" fillId="0" borderId="2" xfId="0" applyNumberFormat="1" applyFont="1" applyFill="1" applyBorder="1" applyAlignment="1">
      <alignment horizontal="center"/>
    </xf>
    <xf numFmtId="9" fontId="0" fillId="0" borderId="2" xfId="0" applyNumberFormat="1" applyFont="1" applyFill="1" applyBorder="1" applyAlignment="1">
      <alignment horizontal="center"/>
    </xf>
    <xf numFmtId="44" fontId="0" fillId="0" borderId="2" xfId="1" applyFont="1" applyBorder="1"/>
    <xf numFmtId="10" fontId="0" fillId="0" borderId="0" xfId="2" applyNumberFormat="1" applyFont="1" applyFill="1" applyAlignment="1">
      <alignment horizontal="center" vertical="center"/>
    </xf>
    <xf numFmtId="0" fontId="0" fillId="0" borderId="0" xfId="0" applyNumberFormat="1" applyFill="1" applyAlignment="1">
      <alignment wrapText="1"/>
    </xf>
    <xf numFmtId="0" fontId="1" fillId="11" borderId="0" xfId="0" applyFont="1" applyFill="1"/>
    <xf numFmtId="166" fontId="0" fillId="10" borderId="29" xfId="0" applyNumberFormat="1" applyFont="1" applyFill="1" applyBorder="1" applyAlignment="1">
      <alignment horizontal="center" vertical="top" wrapText="1"/>
    </xf>
    <xf numFmtId="166" fontId="0" fillId="10" borderId="0" xfId="0" applyNumberFormat="1" applyFont="1" applyFill="1" applyBorder="1" applyAlignment="1">
      <alignment horizontal="center" vertical="top" wrapText="1"/>
    </xf>
    <xf numFmtId="166" fontId="0" fillId="6" borderId="46" xfId="0" applyNumberFormat="1" applyFill="1" applyBorder="1" applyAlignment="1">
      <alignment horizontal="center" vertical="top" wrapText="1"/>
    </xf>
    <xf numFmtId="166" fontId="0" fillId="6" borderId="47" xfId="0" applyNumberFormat="1" applyFill="1" applyBorder="1" applyAlignment="1">
      <alignment horizontal="center" vertical="top" wrapText="1"/>
    </xf>
    <xf numFmtId="166" fontId="0" fillId="6" borderId="48" xfId="0" applyNumberFormat="1" applyFill="1" applyBorder="1" applyAlignment="1">
      <alignment horizontal="center" vertical="top" wrapText="1"/>
    </xf>
    <xf numFmtId="0" fontId="0" fillId="0" borderId="2" xfId="0" applyNumberForma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166" fontId="0" fillId="0" borderId="2" xfId="0" applyNumberFormat="1" applyBorder="1" applyAlignment="1">
      <alignment horizontal="center" vertical="top"/>
    </xf>
    <xf numFmtId="10" fontId="0" fillId="0" borderId="2" xfId="0" applyNumberFormat="1" applyBorder="1" applyAlignment="1">
      <alignment horizontal="center" vertical="top"/>
    </xf>
    <xf numFmtId="44" fontId="0" fillId="0" borderId="2" xfId="0" applyNumberFormat="1" applyBorder="1" applyAlignment="1">
      <alignment horizontal="center" vertical="top"/>
    </xf>
    <xf numFmtId="44" fontId="1" fillId="0" borderId="2" xfId="0" applyNumberFormat="1" applyFont="1" applyBorder="1" applyAlignment="1">
      <alignment horizontal="center" vertical="top"/>
    </xf>
    <xf numFmtId="44" fontId="0" fillId="0" borderId="0" xfId="0" applyNumberFormat="1" applyFill="1"/>
    <xf numFmtId="8" fontId="0" fillId="0" borderId="0" xfId="0" applyNumberFormat="1" applyFill="1"/>
    <xf numFmtId="44" fontId="0" fillId="0" borderId="0" xfId="1" applyFont="1" applyFill="1"/>
    <xf numFmtId="2" fontId="0" fillId="0" borderId="2" xfId="0" applyNumberForma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2" xfId="2" applyNumberFormat="1" applyFont="1" applyBorder="1" applyAlignment="1">
      <alignment horizontal="center" vertical="top"/>
    </xf>
    <xf numFmtId="2" fontId="0" fillId="0" borderId="2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9" borderId="49" xfId="0" applyNumberFormat="1" applyFont="1" applyFill="1" applyBorder="1" applyAlignment="1">
      <alignment horizontal="center" vertical="center" wrapText="1"/>
    </xf>
    <xf numFmtId="0" fontId="1" fillId="0" borderId="49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2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166" fontId="0" fillId="0" borderId="0" xfId="0" applyNumberFormat="1" applyFill="1" applyBorder="1" applyAlignment="1">
      <alignment horizontal="center" vertical="top"/>
    </xf>
    <xf numFmtId="10" fontId="0" fillId="0" borderId="0" xfId="0" applyNumberForma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/>
    </xf>
    <xf numFmtId="2" fontId="0" fillId="0" borderId="0" xfId="2" applyNumberFormat="1" applyFont="1" applyFill="1" applyBorder="1" applyAlignment="1">
      <alignment horizontal="center" vertical="top"/>
    </xf>
    <xf numFmtId="44" fontId="0" fillId="0" borderId="0" xfId="0" applyNumberFormat="1" applyFill="1" applyBorder="1" applyAlignment="1">
      <alignment horizontal="center" vertical="top"/>
    </xf>
    <xf numFmtId="44" fontId="1" fillId="0" borderId="0" xfId="0" applyNumberFormat="1" applyFont="1" applyFill="1" applyBorder="1" applyAlignment="1">
      <alignment horizontal="center" vertical="top"/>
    </xf>
    <xf numFmtId="44" fontId="1" fillId="0" borderId="0" xfId="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0" xfId="1" applyNumberFormat="1" applyFont="1" applyFill="1"/>
    <xf numFmtId="0" fontId="0" fillId="0" borderId="0" xfId="0" applyFont="1" applyFill="1" applyBorder="1" applyAlignment="1">
      <alignment horizontal="center"/>
    </xf>
    <xf numFmtId="44" fontId="1" fillId="0" borderId="37" xfId="0" applyNumberFormat="1" applyFont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1" applyNumberFormat="1" applyFont="1" applyFill="1" applyAlignment="1">
      <alignment horizontal="left" vertical="center"/>
    </xf>
    <xf numFmtId="9" fontId="0" fillId="0" borderId="29" xfId="0" applyNumberFormat="1" applyFont="1" applyFill="1" applyBorder="1" applyAlignment="1">
      <alignment horizontal="center"/>
    </xf>
    <xf numFmtId="44" fontId="0" fillId="0" borderId="29" xfId="1" applyFont="1" applyBorder="1"/>
    <xf numFmtId="10" fontId="0" fillId="0" borderId="29" xfId="0" applyNumberFormat="1" applyBorder="1" applyAlignment="1">
      <alignment horizontal="center"/>
    </xf>
    <xf numFmtId="9" fontId="0" fillId="0" borderId="29" xfId="0" applyNumberFormat="1" applyBorder="1" applyAlignment="1">
      <alignment horizontal="center"/>
    </xf>
    <xf numFmtId="0" fontId="0" fillId="0" borderId="29" xfId="0" applyFont="1" applyFill="1" applyBorder="1" applyAlignment="1"/>
    <xf numFmtId="0" fontId="0" fillId="0" borderId="0" xfId="0" applyFont="1" applyFill="1" applyBorder="1" applyAlignment="1"/>
    <xf numFmtId="0" fontId="0" fillId="0" borderId="39" xfId="0" applyFill="1" applyBorder="1" applyAlignment="1">
      <alignment horizontal="center" vertical="center"/>
    </xf>
    <xf numFmtId="10" fontId="0" fillId="0" borderId="39" xfId="2" applyNumberFormat="1" applyFont="1" applyFill="1" applyBorder="1" applyAlignment="1">
      <alignment horizontal="center" vertical="center"/>
    </xf>
    <xf numFmtId="164" fontId="9" fillId="2" borderId="50" xfId="0" applyNumberFormat="1" applyFont="1" applyFill="1" applyBorder="1"/>
    <xf numFmtId="0" fontId="1" fillId="0" borderId="0" xfId="0" applyFont="1" applyBorder="1" applyAlignment="1">
      <alignment horizontal="center" vertical="center"/>
    </xf>
    <xf numFmtId="44" fontId="1" fillId="0" borderId="37" xfId="0" applyNumberFormat="1" applyFont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horizontal="center" vertical="center"/>
    </xf>
    <xf numFmtId="0" fontId="8" fillId="11" borderId="30" xfId="0" applyNumberFormat="1" applyFont="1" applyFill="1" applyBorder="1" applyAlignment="1">
      <alignment horizontal="center" vertical="center"/>
    </xf>
    <xf numFmtId="0" fontId="8" fillId="11" borderId="29" xfId="0" applyNumberFormat="1" applyFont="1" applyFill="1" applyBorder="1" applyAlignment="1">
      <alignment horizontal="center" vertical="center"/>
    </xf>
    <xf numFmtId="0" fontId="8" fillId="11" borderId="31" xfId="0" applyNumberFormat="1" applyFont="1" applyFill="1" applyBorder="1" applyAlignment="1">
      <alignment horizontal="center" vertical="center"/>
    </xf>
    <xf numFmtId="0" fontId="8" fillId="11" borderId="35" xfId="0" applyNumberFormat="1" applyFont="1" applyFill="1" applyBorder="1" applyAlignment="1">
      <alignment horizontal="center" vertical="center"/>
    </xf>
    <xf numFmtId="0" fontId="8" fillId="11" borderId="0" xfId="0" applyNumberFormat="1" applyFont="1" applyFill="1" applyBorder="1" applyAlignment="1">
      <alignment horizontal="center" vertical="center"/>
    </xf>
    <xf numFmtId="0" fontId="8" fillId="11" borderId="36" xfId="0" applyNumberFormat="1" applyFont="1" applyFill="1" applyBorder="1" applyAlignment="1">
      <alignment horizontal="center" vertical="center"/>
    </xf>
    <xf numFmtId="0" fontId="8" fillId="11" borderId="32" xfId="0" applyNumberFormat="1" applyFont="1" applyFill="1" applyBorder="1" applyAlignment="1">
      <alignment horizontal="center" vertical="center"/>
    </xf>
    <xf numFmtId="0" fontId="8" fillId="11" borderId="33" xfId="0" applyNumberFormat="1" applyFont="1" applyFill="1" applyBorder="1" applyAlignment="1">
      <alignment horizontal="center" vertical="center"/>
    </xf>
    <xf numFmtId="0" fontId="8" fillId="11" borderId="34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4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4" fontId="1" fillId="0" borderId="2" xfId="2" applyNumberFormat="1" applyFont="1" applyBorder="1" applyAlignment="1">
      <alignment horizontal="center" vertical="center"/>
    </xf>
    <xf numFmtId="0" fontId="1" fillId="0" borderId="2" xfId="2" applyNumberFormat="1" applyFont="1" applyBorder="1" applyAlignment="1">
      <alignment horizontal="center" vertical="center"/>
    </xf>
    <xf numFmtId="44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10" borderId="40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10" borderId="44" xfId="0" applyFill="1" applyBorder="1" applyAlignment="1">
      <alignment horizontal="center" vertical="center" wrapText="1"/>
    </xf>
    <xf numFmtId="10" fontId="0" fillId="6" borderId="41" xfId="2" applyNumberFormat="1" applyFont="1" applyFill="1" applyBorder="1" applyAlignment="1">
      <alignment horizontal="center" vertical="top" wrapText="1"/>
    </xf>
    <xf numFmtId="10" fontId="0" fillId="6" borderId="43" xfId="2" applyNumberFormat="1" applyFont="1" applyFill="1" applyBorder="1" applyAlignment="1">
      <alignment horizontal="center" vertical="top" wrapText="1"/>
    </xf>
    <xf numFmtId="10" fontId="0" fillId="6" borderId="45" xfId="2" applyNumberFormat="1" applyFont="1" applyFill="1" applyBorder="1" applyAlignment="1">
      <alignment horizontal="center" vertical="top" wrapText="1"/>
    </xf>
    <xf numFmtId="0" fontId="1" fillId="0" borderId="49" xfId="0" applyNumberFormat="1" applyFont="1" applyBorder="1" applyAlignment="1">
      <alignment horizontal="center" wrapText="1"/>
    </xf>
    <xf numFmtId="44" fontId="1" fillId="0" borderId="37" xfId="2" applyNumberFormat="1" applyFont="1" applyBorder="1" applyAlignment="1">
      <alignment horizontal="center" vertical="center"/>
    </xf>
    <xf numFmtId="44" fontId="1" fillId="0" borderId="38" xfId="2" applyNumberFormat="1" applyFont="1" applyBorder="1" applyAlignment="1">
      <alignment horizontal="center" vertical="center"/>
    </xf>
    <xf numFmtId="44" fontId="1" fillId="0" borderId="37" xfId="0" applyNumberFormat="1" applyFont="1" applyFill="1" applyBorder="1" applyAlignment="1">
      <alignment horizontal="center" vertical="center"/>
    </xf>
    <xf numFmtId="44" fontId="1" fillId="0" borderId="38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37" xfId="0" applyNumberFormat="1" applyFont="1" applyFill="1" applyBorder="1" applyAlignment="1">
      <alignment horizontal="center" vertical="center"/>
    </xf>
    <xf numFmtId="0" fontId="1" fillId="0" borderId="39" xfId="0" applyNumberFormat="1" applyFont="1" applyFill="1" applyBorder="1" applyAlignment="1">
      <alignment horizontal="center" vertical="center"/>
    </xf>
    <xf numFmtId="0" fontId="1" fillId="0" borderId="38" xfId="0" applyNumberFormat="1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8" fillId="11" borderId="36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/>
    </xf>
    <xf numFmtId="44" fontId="1" fillId="0" borderId="37" xfId="0" applyNumberFormat="1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66" fontId="0" fillId="10" borderId="41" xfId="0" applyNumberFormat="1" applyFont="1" applyFill="1" applyBorder="1" applyAlignment="1">
      <alignment horizontal="center" vertical="top" wrapText="1"/>
    </xf>
    <xf numFmtId="166" fontId="0" fillId="10" borderId="43" xfId="0" applyNumberFormat="1" applyFont="1" applyFill="1" applyBorder="1" applyAlignment="1">
      <alignment horizontal="center" vertical="top" wrapText="1"/>
    </xf>
    <xf numFmtId="166" fontId="0" fillId="10" borderId="45" xfId="0" applyNumberFormat="1" applyFont="1" applyFill="1" applyBorder="1" applyAlignment="1">
      <alignment horizontal="center" vertical="top" wrapText="1"/>
    </xf>
    <xf numFmtId="166" fontId="0" fillId="6" borderId="40" xfId="0" applyNumberFormat="1" applyFill="1" applyBorder="1" applyAlignment="1">
      <alignment horizontal="center" vertical="top" wrapText="1"/>
    </xf>
    <xf numFmtId="166" fontId="0" fillId="6" borderId="42" xfId="0" applyNumberFormat="1" applyFill="1" applyBorder="1" applyAlignment="1">
      <alignment horizontal="center" vertical="top" wrapText="1"/>
    </xf>
    <xf numFmtId="166" fontId="0" fillId="6" borderId="44" xfId="0" applyNumberFormat="1" applyFill="1" applyBorder="1" applyAlignment="1">
      <alignment horizontal="center" vertical="top" wrapText="1"/>
    </xf>
    <xf numFmtId="44" fontId="0" fillId="13" borderId="29" xfId="1" applyFont="1" applyFill="1" applyBorder="1" applyAlignment="1">
      <alignment horizontal="center" vertical="top" wrapText="1"/>
    </xf>
    <xf numFmtId="44" fontId="0" fillId="13" borderId="0" xfId="1" applyFont="1" applyFill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165" fontId="0" fillId="6" borderId="29" xfId="0" applyNumberFormat="1" applyFill="1" applyBorder="1" applyAlignment="1">
      <alignment horizontal="center" vertical="top" wrapText="1"/>
    </xf>
    <xf numFmtId="165" fontId="0" fillId="6" borderId="0" xfId="0" applyNumberForma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42"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rgb="FF0070C0"/>
        </patternFill>
      </fill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acquah-sarpong" id="{51222A97-5EEB-4F71-A54C-E951045D7013}" userId="fde38314d602b92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ngCol1" displayName="tangCol1" ref="A5:C12" totalsRowShown="0">
  <autoFilter ref="A5:C12" xr:uid="{00000000-0009-0000-0100-000005000000}"/>
  <tableColumns count="3">
    <tableColumn id="1" xr3:uid="{00000000-0010-0000-0000-000001000000}" name="Age" dataDxfId="41"/>
    <tableColumn id="2" xr3:uid="{00000000-0010-0000-0000-000002000000}" name="year"/>
    <tableColumn id="3" xr3:uid="{00000000-0010-0000-0000-000003000000}" name="PV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ngCol2" displayName="tangCol2" ref="I5:K12" totalsRowShown="0">
  <autoFilter ref="I5:K12" xr:uid="{00000000-0009-0000-0100-000006000000}"/>
  <tableColumns count="3">
    <tableColumn id="1" xr3:uid="{00000000-0010-0000-0100-000001000000}" name="Age"/>
    <tableColumn id="2" xr3:uid="{00000000-0010-0000-0100-000002000000}" name="year"/>
    <tableColumn id="3" xr3:uid="{00000000-0010-0000-0100-000003000000}" name="PV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ngheart1" displayName="tangheart1" ref="A5:C12" totalsRowShown="0">
  <autoFilter ref="A5:C12" xr:uid="{00000000-0009-0000-0100-000007000000}"/>
  <tableColumns count="3">
    <tableColumn id="1" xr3:uid="{00000000-0010-0000-0200-000001000000}" name="Age"/>
    <tableColumn id="2" xr3:uid="{00000000-0010-0000-0200-000002000000}" name="year"/>
    <tableColumn id="3" xr3:uid="{00000000-0010-0000-0200-000003000000}" name="PV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ngheart2" displayName="tangheart2" ref="I5:K12" totalsRowShown="0">
  <autoFilter ref="I5:K12" xr:uid="{00000000-0009-0000-0100-000008000000}"/>
  <tableColumns count="3">
    <tableColumn id="1" xr3:uid="{00000000-0010-0000-0300-000001000000}" name="Age"/>
    <tableColumn id="2" xr3:uid="{00000000-0010-0000-0300-000002000000}" name="year"/>
    <tableColumn id="3" xr3:uid="{00000000-0010-0000-0300-000003000000}" name="PV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ngheart13" displayName="tangheart13" ref="M5:O12" totalsRowShown="0">
  <autoFilter ref="M5:O12" xr:uid="{00000000-0009-0000-0100-000002000000}"/>
  <tableColumns count="3">
    <tableColumn id="1" xr3:uid="{00000000-0010-0000-0400-000001000000}" name="Age"/>
    <tableColumn id="2" xr3:uid="{00000000-0010-0000-0400-000002000000}" name="year"/>
    <tableColumn id="3" xr3:uid="{00000000-0010-0000-0400-000003000000}" name="PV" dataDxfId="36">
      <calculatedColumnFormula>('Data &amp; PV'!$J$3/(1+5%)^tangheart13[[#This Row],[year]])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ngheart14" displayName="tangheart14" ref="U5:W12" totalsRowShown="0">
  <autoFilter ref="U5:W12" xr:uid="{00000000-0009-0000-0100-000003000000}"/>
  <tableColumns count="3">
    <tableColumn id="1" xr3:uid="{00000000-0010-0000-0500-000001000000}" name="Age"/>
    <tableColumn id="2" xr3:uid="{00000000-0010-0000-0500-000002000000}" name="year"/>
    <tableColumn id="3" xr3:uid="{00000000-0010-0000-0500-000003000000}" name="PV" dataDxfId="35">
      <calculatedColumnFormula>('Data &amp; PV'!$J$3/(1+5%)^tangheart14[[#This Row],[year]])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5:C17" totalsRowShown="0" tableBorderDxfId="34">
  <autoFilter ref="A5:C17" xr:uid="{00000000-0009-0000-0100-000009000000}"/>
  <tableColumns count="3">
    <tableColumn id="1" xr3:uid="{00000000-0010-0000-0600-000001000000}" name="Age"/>
    <tableColumn id="2" xr3:uid="{00000000-0010-0000-0600-000002000000}" name="year"/>
    <tableColumn id="3" xr3:uid="{00000000-0010-0000-0600-000003000000}" name="P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I5:K17" totalsRowShown="0" headerRowBorderDxfId="33" tableBorderDxfId="32">
  <autoFilter ref="I5:K17" xr:uid="{00000000-0009-0000-0100-00000A000000}"/>
  <tableColumns count="3">
    <tableColumn id="1" xr3:uid="{00000000-0010-0000-0700-000001000000}" name="Age"/>
    <tableColumn id="2" xr3:uid="{00000000-0010-0000-0700-000002000000}" name="year"/>
    <tableColumn id="3" xr3:uid="{00000000-0010-0000-0700-000003000000}" name="PV" dataDxfId="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Table95" displayName="Table95" ref="N5:P17" totalsRowShown="0" tableBorderDxfId="30">
  <autoFilter ref="N5:P17" xr:uid="{00000000-0009-0000-0100-000004000000}"/>
  <tableColumns count="3">
    <tableColumn id="1" xr3:uid="{00000000-0010-0000-0800-000001000000}" name="Age"/>
    <tableColumn id="2" xr3:uid="{00000000-0010-0000-0800-000002000000}" name="year"/>
    <tableColumn id="3" xr3:uid="{00000000-0010-0000-0800-000003000000}" name="P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able914" displayName="Table914" ref="V5:X17" totalsRowShown="0" tableBorderDxfId="29">
  <autoFilter ref="V5:X17" xr:uid="{00000000-0009-0000-0100-00000D000000}"/>
  <tableColumns count="3">
    <tableColumn id="1" xr3:uid="{00000000-0010-0000-0900-000001000000}" name="Age"/>
    <tableColumn id="2" xr3:uid="{00000000-0010-0000-0900-000002000000}" name="year"/>
    <tableColumn id="3" xr3:uid="{00000000-0010-0000-0900-000003000000}" name="P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5:C27" totalsRowShown="0" tableBorderDxfId="28">
  <autoFilter ref="A5:C27" xr:uid="{00000000-0009-0000-0100-00000B000000}"/>
  <tableColumns count="3">
    <tableColumn id="1" xr3:uid="{00000000-0010-0000-0A00-000001000000}" name="Age" dataDxfId="27"/>
    <tableColumn id="2" xr3:uid="{00000000-0010-0000-0A00-000002000000}" name="year"/>
    <tableColumn id="3" xr3:uid="{00000000-0010-0000-0A00-000003000000}" name="PV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I5:K27" totalsRowShown="0" tableBorderDxfId="25">
  <autoFilter ref="I5:K27" xr:uid="{00000000-0009-0000-0100-00000C000000}"/>
  <tableColumns count="3">
    <tableColumn id="1" xr3:uid="{00000000-0010-0000-0B00-000001000000}" name="Age"/>
    <tableColumn id="2" xr3:uid="{00000000-0010-0000-0B00-000002000000}" name="year"/>
    <tableColumn id="3" xr3:uid="{00000000-0010-0000-0B00-000003000000}" name="PV" dataDxfId="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116" displayName="Table1116" ref="O5:Q27" totalsRowShown="0" tableBorderDxfId="23">
  <autoFilter ref="O5:Q27" xr:uid="{00000000-0009-0000-0100-00000F000000}"/>
  <tableColumns count="3">
    <tableColumn id="1" xr3:uid="{00000000-0010-0000-0C00-000001000000}" name="Age" dataDxfId="22"/>
    <tableColumn id="2" xr3:uid="{00000000-0010-0000-0C00-000002000000}" name="year"/>
    <tableColumn id="3" xr3:uid="{00000000-0010-0000-0C00-000003000000}" name="PV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D000000}" name="Table1221" displayName="Table1221" ref="V5:X27" totalsRowShown="0" tableBorderDxfId="20">
  <autoFilter ref="V5:X27" xr:uid="{00000000-0009-0000-0100-000014000000}"/>
  <tableColumns count="3">
    <tableColumn id="1" xr3:uid="{00000000-0010-0000-0D00-000001000000}" name="Age"/>
    <tableColumn id="2" xr3:uid="{00000000-0010-0000-0D00-000002000000}" name="year"/>
    <tableColumn id="3" xr3:uid="{00000000-0010-0000-0D00-000003000000}" name="PV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e18" displayName="Table18" ref="A4:C35" totalsRowShown="0" headerRowDxfId="18" tableBorderDxfId="17">
  <autoFilter ref="A4:C35" xr:uid="{00000000-0009-0000-0100-000012000000}"/>
  <tableColumns count="3">
    <tableColumn id="1" xr3:uid="{00000000-0010-0000-0E00-000001000000}" name="Age"/>
    <tableColumn id="2" xr3:uid="{00000000-0010-0000-0E00-000002000000}" name="year" dataDxfId="16"/>
    <tableColumn id="3" xr3:uid="{00000000-0010-0000-0E00-000003000000}" name="PV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F000000}" name="Table1" displayName="Table1" ref="K4:M22" totalsRowShown="0" headerRowBorderDxfId="15" tableBorderDxfId="14">
  <autoFilter ref="K4:M22" xr:uid="{00000000-0009-0000-0100-000001000000}"/>
  <tableColumns count="3">
    <tableColumn id="1" xr3:uid="{00000000-0010-0000-0F00-000001000000}" name="Age"/>
    <tableColumn id="2" xr3:uid="{00000000-0010-0000-0F00-000002000000}" name="year"/>
    <tableColumn id="3" xr3:uid="{00000000-0010-0000-0F00-000003000000}" name="PV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4:C31" totalsRowShown="0" headerRowDxfId="12" tableBorderDxfId="11">
  <autoFilter ref="A4:C31" xr:uid="{00000000-0009-0000-0100-000011000000}"/>
  <tableColumns count="3">
    <tableColumn id="1" xr3:uid="{00000000-0010-0000-1000-000001000000}" name="Age"/>
    <tableColumn id="2" xr3:uid="{00000000-0010-0000-1000-000002000000}" name="year"/>
    <tableColumn id="3" xr3:uid="{00000000-0010-0000-1000-000003000000}" name="P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1000000}" name="Table14" displayName="Table14" ref="O4:Q18" totalsRowShown="0" headerRowBorderDxfId="10" tableBorderDxfId="9">
  <autoFilter ref="O4:Q18" xr:uid="{00000000-0009-0000-0100-00000E000000}"/>
  <tableColumns count="3">
    <tableColumn id="1" xr3:uid="{00000000-0010-0000-1100-000001000000}" name="Age"/>
    <tableColumn id="2" xr3:uid="{00000000-0010-0000-1100-000002000000}" name="year"/>
    <tableColumn id="3" xr3:uid="{00000000-0010-0000-1100-000003000000}" name="PV" dataDxfId="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2000000}" name="Table16" displayName="Table16" ref="A4:C45" totalsRowShown="0">
  <autoFilter ref="A4:C45" xr:uid="{00000000-0009-0000-0100-000010000000}"/>
  <tableColumns count="3">
    <tableColumn id="1" xr3:uid="{00000000-0010-0000-1200-000001000000}" name="Age" dataDxfId="7"/>
    <tableColumn id="2" xr3:uid="{00000000-0010-0000-1200-000002000000}" name="year"/>
    <tableColumn id="3" xr3:uid="{00000000-0010-0000-1200-000003000000}" name="PV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le21" displayName="Table21" ref="L4:N32" totalsRowShown="0" headerRowBorderDxfId="5" tableBorderDxfId="4">
  <autoFilter ref="L4:N32" xr:uid="{00000000-0009-0000-0100-000015000000}"/>
  <tableColumns count="3">
    <tableColumn id="1" xr3:uid="{00000000-0010-0000-1300-000001000000}" name="Age" dataDxfId="3"/>
    <tableColumn id="2" xr3:uid="{00000000-0010-0000-1300-000002000000}" name="year"/>
    <tableColumn id="3" xr3:uid="{00000000-0010-0000-1300-000003000000}" name="PV" dataDxfId="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4000000}" name="Table19" displayName="Table19" ref="A4:C47" totalsRowShown="0">
  <autoFilter ref="A4:C47" xr:uid="{00000000-0009-0000-0100-000013000000}"/>
  <tableColumns count="3">
    <tableColumn id="1" xr3:uid="{00000000-0010-0000-1400-000001000000}" name="Age" dataDxfId="1"/>
    <tableColumn id="2" xr3:uid="{00000000-0010-0000-1400-000002000000}" name="year"/>
    <tableColumn id="3" xr3:uid="{00000000-0010-0000-1400-000003000000}" name="P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5-19T17:12:27.99" personId="{51222A97-5EEB-4F71-A54C-E951045D7013}" id="{DCFC1721-B343-406F-AEC6-AF8C50E5A449}">
    <text>annual cost of work days = annual lost days * average work hours per day * minimum wage per hour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" sqref="B2:E11"/>
    </sheetView>
  </sheetViews>
  <sheetFormatPr defaultRowHeight="15"/>
  <cols>
    <col min="1" max="1" width="28" bestFit="1" customWidth="1"/>
    <col min="2" max="2" width="19.85546875" customWidth="1"/>
    <col min="3" max="4" width="17.7109375" customWidth="1"/>
    <col min="5" max="5" width="16.42578125" customWidth="1"/>
  </cols>
  <sheetData>
    <row r="1" spans="1:6">
      <c r="B1" t="s">
        <v>158</v>
      </c>
      <c r="C1" t="s">
        <v>159</v>
      </c>
      <c r="D1" t="s">
        <v>160</v>
      </c>
      <c r="E1" t="s">
        <v>161</v>
      </c>
    </row>
    <row r="2" spans="1:6">
      <c r="A2" t="s">
        <v>42</v>
      </c>
      <c r="B2">
        <f>recalls!J34</f>
        <v>1507</v>
      </c>
      <c r="C2">
        <f>'biomarkers(pre-post)'!J34</f>
        <v>1507</v>
      </c>
      <c r="D2">
        <f>'biomarker(6months)'!J34</f>
        <v>1507</v>
      </c>
      <c r="E2">
        <f>'biometrics(1yr)'!J34</f>
        <v>1507</v>
      </c>
    </row>
    <row r="3" spans="1:6">
      <c r="A3" t="s">
        <v>43</v>
      </c>
      <c r="B3" s="212">
        <f>recalls!J35</f>
        <v>6291800.082732317</v>
      </c>
      <c r="C3" s="213">
        <f>'biomarkers(pre-post)'!J35</f>
        <v>23535353.312649921</v>
      </c>
      <c r="D3" s="212">
        <f>'biomarker(6months)'!J35</f>
        <v>22971408.696038175</v>
      </c>
      <c r="E3" s="213">
        <f>'biometrics(1yr)'!J35</f>
        <v>21157083.623528857</v>
      </c>
      <c r="F3" s="1"/>
    </row>
    <row r="4" spans="1:6">
      <c r="A4" t="s">
        <v>44</v>
      </c>
      <c r="B4" s="212">
        <f>recalls!J36</f>
        <v>4175.0498226491818</v>
      </c>
      <c r="C4" s="213">
        <f>'biomarkers(pre-post)'!J36</f>
        <v>15617.354553848654</v>
      </c>
      <c r="D4" s="212">
        <f>'biomarker(6months)'!J36</f>
        <v>15243.13782086143</v>
      </c>
      <c r="E4" s="213">
        <f>'biometrics(1yr)'!J36</f>
        <v>14039.206120457105</v>
      </c>
      <c r="F4" s="1"/>
    </row>
    <row r="5" spans="1:6">
      <c r="A5" t="s">
        <v>45</v>
      </c>
      <c r="B5" s="212">
        <f>recalls!J37</f>
        <v>400934.64497602877</v>
      </c>
      <c r="C5" s="213">
        <f>'biomarkers(pre-post)'!J37</f>
        <v>1661701.518080316</v>
      </c>
      <c r="D5" s="212">
        <f>'biomarker(6months)'!J37</f>
        <v>1723736.6688398914</v>
      </c>
      <c r="E5" s="213">
        <f>'biometrics(1yr)'!J37</f>
        <v>1796120.3758091561</v>
      </c>
      <c r="F5" s="1"/>
    </row>
    <row r="6" spans="1:6">
      <c r="A6" t="s">
        <v>46</v>
      </c>
      <c r="B6" s="212">
        <f>recalls!J38</f>
        <v>266.04820502722544</v>
      </c>
      <c r="C6" s="213">
        <f>'biomarkers(pre-post)'!J38</f>
        <v>1102.6552873791081</v>
      </c>
      <c r="D6" s="212">
        <f>'biomarker(6months)'!J38</f>
        <v>1143.8199527802863</v>
      </c>
      <c r="E6" s="213">
        <f>'biometrics(1yr)'!J38</f>
        <v>1191.8516096941978</v>
      </c>
      <c r="F6" s="1"/>
    </row>
    <row r="7" spans="1:6">
      <c r="A7" t="s">
        <v>47</v>
      </c>
      <c r="B7" s="212">
        <f>recalls!J39</f>
        <v>6692734.7277083462</v>
      </c>
      <c r="C7" s="213">
        <f>'biomarkers(pre-post)'!J39</f>
        <v>25197054.830730237</v>
      </c>
      <c r="D7" s="212">
        <f>'biomarker(6months)'!J39</f>
        <v>24695145.364878066</v>
      </c>
      <c r="E7" s="213">
        <f>'biometrics(1yr)'!J39</f>
        <v>22953203.999338012</v>
      </c>
      <c r="F7" s="1"/>
    </row>
    <row r="8" spans="1:6">
      <c r="A8" t="s">
        <v>48</v>
      </c>
      <c r="B8" s="212">
        <f>recalls!J40</f>
        <v>4441.0980276764076</v>
      </c>
      <c r="C8" s="213">
        <f>'biomarkers(pre-post)'!J40</f>
        <v>16720.009841227762</v>
      </c>
      <c r="D8" s="212">
        <f>'biomarker(6months)'!J40</f>
        <v>16386.957773641716</v>
      </c>
      <c r="E8" s="213">
        <f>'biometrics(1yr)'!J40</f>
        <v>15231.057730151302</v>
      </c>
      <c r="F8" s="1"/>
    </row>
    <row r="9" spans="1:6">
      <c r="A9" t="s">
        <v>49</v>
      </c>
      <c r="B9" s="212">
        <f>recalls!J41</f>
        <v>1822135.8199999998</v>
      </c>
      <c r="C9" s="213">
        <f>'biomarkers(pre-post)'!J41</f>
        <v>1822135.8199999998</v>
      </c>
      <c r="D9" s="212">
        <f>'biomarker(6months)'!J41</f>
        <v>1822135.8199999998</v>
      </c>
      <c r="E9" s="213">
        <f>'biometrics(1yr)'!J41</f>
        <v>1822135.8199999998</v>
      </c>
      <c r="F9" s="1"/>
    </row>
    <row r="10" spans="1:6">
      <c r="A10" t="s">
        <v>50</v>
      </c>
      <c r="B10" s="212">
        <f>recalls!J42</f>
        <v>1209.1146781685466</v>
      </c>
      <c r="C10" s="213">
        <f>'biomarkers(pre-post)'!J42</f>
        <v>1209.1146781685466</v>
      </c>
      <c r="D10" s="212">
        <f>'biomarker(6months)'!J42</f>
        <v>1209.1146781685466</v>
      </c>
      <c r="E10" s="213">
        <f>'biometrics(1yr)'!J42</f>
        <v>1209.1146781685466</v>
      </c>
      <c r="F10" s="1"/>
    </row>
    <row r="11" spans="1:6">
      <c r="A11" t="s">
        <v>51</v>
      </c>
      <c r="B11" s="214">
        <f>recalls!J43</f>
        <v>3.6730163878279654</v>
      </c>
      <c r="C11" s="213">
        <f>'biomarkers(pre-post)'!J43</f>
        <v>13.828307722269706</v>
      </c>
      <c r="D11" s="214">
        <f>'biomarker(6months)'!J43</f>
        <v>13.552856540012517</v>
      </c>
      <c r="E11" s="213">
        <f>'biometrics(1yr)'!J43</f>
        <v>12.596867778680744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1"/>
  <sheetViews>
    <sheetView topLeftCell="I16" zoomScale="80" zoomScaleNormal="80" workbookViewId="0">
      <selection activeCell="J32" sqref="J32:S32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4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27">
        <v>52</v>
      </c>
      <c r="B1" s="227"/>
      <c r="C1" s="227"/>
      <c r="D1" s="227"/>
      <c r="E1" s="227"/>
      <c r="G1" s="171"/>
      <c r="H1" s="187"/>
      <c r="I1" s="228"/>
      <c r="J1" s="231"/>
      <c r="K1" s="232"/>
      <c r="L1" s="232"/>
      <c r="M1" s="232"/>
      <c r="N1" s="232"/>
      <c r="O1" s="232"/>
      <c r="P1" s="232"/>
      <c r="Q1" s="232"/>
      <c r="R1" s="232"/>
      <c r="S1" s="233"/>
      <c r="T1" s="24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27"/>
      <c r="B2" s="227"/>
      <c r="C2" s="227"/>
      <c r="D2" s="227"/>
      <c r="E2" s="227"/>
      <c r="G2" s="171"/>
      <c r="H2" s="187"/>
      <c r="I2" s="229"/>
      <c r="J2" s="234"/>
      <c r="K2" s="235"/>
      <c r="L2" s="235"/>
      <c r="M2" s="235"/>
      <c r="N2" s="235"/>
      <c r="O2" s="235"/>
      <c r="P2" s="235"/>
      <c r="Q2" s="235"/>
      <c r="R2" s="235"/>
      <c r="S2" s="236"/>
      <c r="T2" s="24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41" t="s">
        <v>5</v>
      </c>
      <c r="B3" s="241"/>
      <c r="C3" s="241"/>
      <c r="D3" s="241"/>
      <c r="E3" s="241"/>
      <c r="G3" s="171"/>
      <c r="H3" s="187"/>
      <c r="I3" s="229"/>
      <c r="J3" s="237"/>
      <c r="K3" s="238"/>
      <c r="L3" s="238"/>
      <c r="M3" s="238"/>
      <c r="N3" s="238"/>
      <c r="O3" s="238"/>
      <c r="P3" s="238"/>
      <c r="Q3" s="238"/>
      <c r="R3" s="238"/>
      <c r="S3" s="239"/>
      <c r="T3" s="24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3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22</v>
      </c>
      <c r="E5" s="129">
        <f>(D5/$A$1)</f>
        <v>0.42307692307692307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f>'biometrics(1yr)'!R5</f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22</v>
      </c>
      <c r="E6" s="129">
        <f t="shared" ref="E6:E8" si="0">(D6/$A$1)</f>
        <v>0.42307692307692307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'biometrics(1yr)'!R6</f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27</v>
      </c>
      <c r="E7" s="129">
        <f t="shared" si="0"/>
        <v>0.51923076923076927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f>'biometrics(1yr)'!R7</f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16</v>
      </c>
      <c r="E8" s="129">
        <f t="shared" si="0"/>
        <v>0.30769230769230771</v>
      </c>
      <c r="H8" s="112"/>
      <c r="I8" s="185" t="s">
        <v>157</v>
      </c>
      <c r="J8" s="129">
        <f>E5</f>
        <v>0.42307692307692307</v>
      </c>
      <c r="K8" s="129">
        <f>E6</f>
        <v>0.42307692307692307</v>
      </c>
      <c r="L8" s="129">
        <f>E7</f>
        <v>0.51923076923076927</v>
      </c>
      <c r="M8" s="129">
        <f>E8</f>
        <v>0.30769230769230771</v>
      </c>
      <c r="N8" s="153">
        <f>E12</f>
        <v>3.8461538461538464E-2</v>
      </c>
      <c r="O8" s="153">
        <f>E13</f>
        <v>0.30769230769230771</v>
      </c>
      <c r="P8" s="153">
        <f>E14</f>
        <v>0.42307692307692307</v>
      </c>
      <c r="Q8" s="153">
        <f>E15</f>
        <v>0.19230769230769232</v>
      </c>
      <c r="R8" s="153">
        <f>E14</f>
        <v>0.42307692307692307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42" t="s">
        <v>28</v>
      </c>
      <c r="B9" s="242"/>
      <c r="C9" s="242"/>
      <c r="D9" s="242"/>
      <c r="E9" s="242"/>
      <c r="I9" s="185" t="s">
        <v>29</v>
      </c>
      <c r="J9" s="164">
        <f t="shared" ref="J9:S9" si="1">J5*J6*J7*J8</f>
        <v>15.301846153846153</v>
      </c>
      <c r="K9" s="164">
        <f t="shared" si="1"/>
        <v>133.24082538461539</v>
      </c>
      <c r="L9" s="165">
        <f t="shared" si="1"/>
        <v>40.563803076923087</v>
      </c>
      <c r="M9" s="166">
        <f t="shared" si="1"/>
        <v>16.846868923076926</v>
      </c>
      <c r="N9" s="164">
        <f t="shared" si="1"/>
        <v>2.8552357859531776</v>
      </c>
      <c r="O9" s="164">
        <f t="shared" si="1"/>
        <v>85.690338461538474</v>
      </c>
      <c r="P9" s="164">
        <f t="shared" si="1"/>
        <v>242.27923076923076</v>
      </c>
      <c r="Q9" s="164">
        <f t="shared" si="1"/>
        <v>48.397884615384619</v>
      </c>
      <c r="R9" s="164">
        <f>PRODUCT(R5:R8)</f>
        <v>51.133669230769229</v>
      </c>
      <c r="S9" s="164">
        <f t="shared" si="1"/>
        <v>70.133461538461546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42"/>
      <c r="B10" s="242"/>
      <c r="C10" s="242"/>
      <c r="D10" s="242"/>
      <c r="E10" s="242"/>
      <c r="I10" s="185" t="s">
        <v>30</v>
      </c>
      <c r="J10" s="154">
        <f>'Colorectal Benefit'!$F$16</f>
        <v>14907.514737603546</v>
      </c>
      <c r="K10" s="154">
        <f>'Heart Disease Benefit'!$G$16</f>
        <v>5481.0227042652114</v>
      </c>
      <c r="L10" s="154">
        <f>'Stroke Benefits'!$G$18</f>
        <v>21263.67263011451</v>
      </c>
      <c r="M10" s="154">
        <f>'Hypertension Benefit'!$G$29</f>
        <v>1418.8495275985588</v>
      </c>
      <c r="N10" s="154">
        <f>osteoporosis!$C$35</f>
        <v>139409.29282534606</v>
      </c>
      <c r="O10" s="154">
        <f>'Type 2 Diabeties'!$C$31</f>
        <v>88685.105192324641</v>
      </c>
      <c r="P10" s="154">
        <f>Obesity!$C$45</f>
        <v>42711.261846771878</v>
      </c>
      <c r="Q10" s="154">
        <f>FIGURES!$F$14</f>
        <v>42402.559854710737</v>
      </c>
      <c r="R10" s="154">
        <f>'biometrics(1yr)'!R10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42"/>
      <c r="B11" s="242"/>
      <c r="C11" s="242"/>
      <c r="D11" s="242"/>
      <c r="E11" s="242"/>
      <c r="I11" s="185" t="s">
        <v>31</v>
      </c>
      <c r="J11" s="243">
        <f t="shared" ref="J11:S11" si="2">J9*J10</f>
        <v>228112.49705100365</v>
      </c>
      <c r="K11" s="243">
        <f t="shared" si="2"/>
        <v>730295.9890681135</v>
      </c>
      <c r="L11" s="245">
        <f t="shared" si="2"/>
        <v>862535.42926012422</v>
      </c>
      <c r="M11" s="247">
        <f t="shared" si="2"/>
        <v>23903.172013022537</v>
      </c>
      <c r="N11" s="243">
        <f t="shared" si="2"/>
        <v>398046.40176935366</v>
      </c>
      <c r="O11" s="243">
        <f t="shared" si="2"/>
        <v>7599456.6804274414</v>
      </c>
      <c r="P11" s="243">
        <f t="shared" si="2"/>
        <v>10348051.665419085</v>
      </c>
      <c r="Q11" s="243">
        <f t="shared" si="2"/>
        <v>2052194.1992452303</v>
      </c>
      <c r="R11" s="225">
        <f>R9*R10</f>
        <v>1114672.3451012752</v>
      </c>
      <c r="S11" s="243">
        <f t="shared" si="2"/>
        <v>178084.93329527156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44"/>
      <c r="K12" s="244"/>
      <c r="L12" s="246"/>
      <c r="M12" s="248"/>
      <c r="N12" s="242"/>
      <c r="O12" s="242"/>
      <c r="P12" s="242"/>
      <c r="Q12" s="242"/>
      <c r="R12" s="226"/>
      <c r="S12" s="242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16</v>
      </c>
      <c r="E13" s="129">
        <f t="shared" ref="E13:E15" si="3">(D13/$A$1)</f>
        <v>0.30769230769230771</v>
      </c>
      <c r="F13" s="134"/>
      <c r="G13" s="171"/>
      <c r="H13" s="112"/>
      <c r="I13" s="185" t="s">
        <v>33</v>
      </c>
      <c r="J13" s="155">
        <f>SUM(J11:S12)</f>
        <v>23535353.312649921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4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22</v>
      </c>
      <c r="E14" s="129">
        <f t="shared" si="3"/>
        <v>0.42307692307692307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49" t="s">
        <v>35</v>
      </c>
      <c r="B16" s="249"/>
      <c r="C16" s="249"/>
      <c r="D16" s="249"/>
      <c r="E16" s="249"/>
      <c r="I16" s="228"/>
      <c r="J16" s="231"/>
      <c r="K16" s="232"/>
      <c r="L16" s="232"/>
      <c r="M16" s="232"/>
      <c r="N16" s="232"/>
      <c r="O16" s="232"/>
      <c r="P16" s="232"/>
      <c r="Q16" s="232"/>
      <c r="R16" s="232"/>
      <c r="S16" s="23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206">
        <v>11</v>
      </c>
      <c r="E17" s="129">
        <f>(D17/$A$1)</f>
        <v>0.21153846153846154</v>
      </c>
      <c r="H17" s="112"/>
      <c r="I17" s="229"/>
      <c r="J17" s="234"/>
      <c r="K17" s="235"/>
      <c r="L17" s="235"/>
      <c r="M17" s="235"/>
      <c r="N17" s="235"/>
      <c r="O17" s="235"/>
      <c r="P17" s="235"/>
      <c r="Q17" s="235"/>
      <c r="R17" s="235"/>
      <c r="S17" s="23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9"/>
      <c r="D18" s="221">
        <v>2</v>
      </c>
      <c r="E18" s="222">
        <f>(D18/$A$1)</f>
        <v>3.8461538461538464E-2</v>
      </c>
      <c r="G18" s="171"/>
      <c r="H18" s="188"/>
      <c r="I18" s="229"/>
      <c r="J18" s="237"/>
      <c r="K18" s="238"/>
      <c r="L18" s="238"/>
      <c r="M18" s="238"/>
      <c r="N18" s="238"/>
      <c r="O18" s="238"/>
      <c r="P18" s="238"/>
      <c r="Q18" s="238"/>
      <c r="R18" s="238"/>
      <c r="S18" s="239"/>
      <c r="T18" s="24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3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 t="s">
        <v>83</v>
      </c>
      <c r="S19" s="120" t="s">
        <v>20</v>
      </c>
      <c r="T19" s="24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206">
        <v>1507</v>
      </c>
      <c r="O20" s="206">
        <v>1507</v>
      </c>
      <c r="P20" s="206">
        <v>1507</v>
      </c>
      <c r="Q20" s="206">
        <v>1507</v>
      </c>
      <c r="R20" s="211">
        <v>1507</v>
      </c>
      <c r="S20" s="206">
        <v>1507</v>
      </c>
      <c r="T20" s="24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>
        <v>8.0199999999999994E-2</v>
      </c>
      <c r="S21" s="127">
        <v>1</v>
      </c>
      <c r="T21" s="24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>
        <v>1</v>
      </c>
      <c r="S22" s="128">
        <v>0.22</v>
      </c>
      <c r="T22" s="24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157</v>
      </c>
      <c r="J23" s="129">
        <f t="shared" ref="J23:S24" si="4">J8</f>
        <v>0.42307692307692307</v>
      </c>
      <c r="K23" s="129">
        <f t="shared" si="4"/>
        <v>0.42307692307692307</v>
      </c>
      <c r="L23" s="129">
        <f t="shared" si="4"/>
        <v>0.51923076923076927</v>
      </c>
      <c r="M23" s="129">
        <f t="shared" si="4"/>
        <v>0.30769230769230771</v>
      </c>
      <c r="N23" s="153">
        <f t="shared" si="4"/>
        <v>3.8461538461538464E-2</v>
      </c>
      <c r="O23" s="153">
        <f t="shared" si="4"/>
        <v>0.30769230769230771</v>
      </c>
      <c r="P23" s="153">
        <f t="shared" si="4"/>
        <v>0.42307692307692307</v>
      </c>
      <c r="Q23" s="153">
        <f t="shared" si="4"/>
        <v>0.19230769230769232</v>
      </c>
      <c r="R23" s="153">
        <f>$E$18</f>
        <v>3.8461538461538464E-2</v>
      </c>
      <c r="S23" s="153">
        <f t="shared" si="4"/>
        <v>0.21153846153846154</v>
      </c>
      <c r="T23" s="24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15.301846153846153</v>
      </c>
      <c r="K24" s="164">
        <f t="shared" si="4"/>
        <v>133.24082538461539</v>
      </c>
      <c r="L24" s="165">
        <f t="shared" si="4"/>
        <v>40.563803076923087</v>
      </c>
      <c r="M24" s="166">
        <f t="shared" si="4"/>
        <v>16.846868923076926</v>
      </c>
      <c r="N24" s="164">
        <f t="shared" si="4"/>
        <v>2.8552357859531776</v>
      </c>
      <c r="O24" s="164">
        <f t="shared" si="4"/>
        <v>85.690338461538474</v>
      </c>
      <c r="P24" s="164">
        <f t="shared" si="4"/>
        <v>242.27923076923076</v>
      </c>
      <c r="Q24" s="164">
        <f t="shared" si="4"/>
        <v>48.397884615384619</v>
      </c>
      <c r="R24" s="164">
        <f>R20*R21*R22*R23</f>
        <v>4.6485153846153846</v>
      </c>
      <c r="S24" s="164">
        <f t="shared" si="4"/>
        <v>70.133461538461546</v>
      </c>
      <c r="T24" s="24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1242.5410750630153</v>
      </c>
      <c r="K25" s="155">
        <f>'Heart Disease Benefit'!$S$16</f>
        <v>1264.7556786428504</v>
      </c>
      <c r="L25" s="155">
        <f>'Stroke Benefits'!$U$18</f>
        <v>3487.8827485273468</v>
      </c>
      <c r="M25" s="155">
        <f>'Hypertension Benefit'!$S$29</f>
        <v>4090.6286200237264</v>
      </c>
      <c r="N25" s="155">
        <f>osteoporosis!$M$22</f>
        <v>3472.7206980956112</v>
      </c>
      <c r="O25" s="155">
        <f>'Type 2 Diabeties'!$Q$18</f>
        <v>3730.3402362679958</v>
      </c>
      <c r="P25" s="155">
        <f>Obesity!$N$32</f>
        <v>3529.7997763963713</v>
      </c>
      <c r="Q25" s="155">
        <f>FIGURES!$G$14</f>
        <v>1632.4774158057662</v>
      </c>
      <c r="R25" s="155">
        <v>0</v>
      </c>
      <c r="S25" s="204">
        <v>0</v>
      </c>
      <c r="T25" s="24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56" t="s">
        <v>40</v>
      </c>
      <c r="J26" s="225">
        <f t="shared" ref="J26:S26" si="5">J24*J25</f>
        <v>19013.172370448865</v>
      </c>
      <c r="K26" s="225">
        <f t="shared" si="5"/>
        <v>168517.09053225277</v>
      </c>
      <c r="L26" s="257">
        <f t="shared" si="5"/>
        <v>141481.78896666053</v>
      </c>
      <c r="M26" s="259">
        <f t="shared" si="5"/>
        <v>68914.284174526765</v>
      </c>
      <c r="N26" s="225">
        <f t="shared" si="5"/>
        <v>9915.4364118228896</v>
      </c>
      <c r="O26" s="225">
        <f t="shared" si="5"/>
        <v>319654.11742249998</v>
      </c>
      <c r="P26" s="225">
        <f t="shared" si="5"/>
        <v>855197.17459471559</v>
      </c>
      <c r="Q26" s="225">
        <f t="shared" si="5"/>
        <v>79008.453607388728</v>
      </c>
      <c r="R26" s="225">
        <f>R24*R25</f>
        <v>0</v>
      </c>
      <c r="S26" s="225">
        <f t="shared" si="5"/>
        <v>0</v>
      </c>
      <c r="T26" s="24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56"/>
      <c r="J27" s="226"/>
      <c r="K27" s="226"/>
      <c r="L27" s="258"/>
      <c r="M27" s="260"/>
      <c r="N27" s="226"/>
      <c r="O27" s="226"/>
      <c r="P27" s="226"/>
      <c r="Q27" s="226"/>
      <c r="R27" s="226"/>
      <c r="S27" s="226"/>
      <c r="T27" s="24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1661701.518080316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4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4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4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247125.66942145251</v>
      </c>
      <c r="K31" s="161">
        <f t="shared" si="6"/>
        <v>898813.0796003663</v>
      </c>
      <c r="L31" s="161">
        <f t="shared" si="6"/>
        <v>1004017.2182267847</v>
      </c>
      <c r="M31" s="161">
        <f t="shared" si="6"/>
        <v>92817.456187549309</v>
      </c>
      <c r="N31" s="161">
        <f t="shared" si="6"/>
        <v>407961.83818117657</v>
      </c>
      <c r="O31" s="161">
        <f t="shared" si="6"/>
        <v>7919110.7978499411</v>
      </c>
      <c r="P31" s="161">
        <f t="shared" si="6"/>
        <v>11203248.8400138</v>
      </c>
      <c r="Q31" s="161">
        <f t="shared" si="6"/>
        <v>2131202.6528526191</v>
      </c>
      <c r="R31" s="161">
        <f t="shared" si="6"/>
        <v>1114672.3451012752</v>
      </c>
      <c r="S31" s="161">
        <f t="shared" si="6"/>
        <v>178084.93329527156</v>
      </c>
      <c r="T31" s="24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247125.66942145251</v>
      </c>
      <c r="K32" s="111">
        <v>898813.0796003663</v>
      </c>
      <c r="L32" s="111">
        <v>1004017.2182267847</v>
      </c>
      <c r="M32" s="111">
        <v>92817.456187549309</v>
      </c>
      <c r="N32" s="79">
        <v>407961.83818117657</v>
      </c>
      <c r="O32" s="79">
        <v>7919110.7978499411</v>
      </c>
      <c r="P32" s="79">
        <v>11203248.8400138</v>
      </c>
      <c r="Q32" s="79">
        <v>2131202.6528526191</v>
      </c>
      <c r="R32" s="79">
        <v>1114672.3451012752</v>
      </c>
      <c r="S32" s="79">
        <v>178084.93329527156</v>
      </c>
      <c r="T32" s="24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4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4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23535353.312649921</v>
      </c>
      <c r="K35" s="161"/>
      <c r="L35" s="161"/>
      <c r="M35" s="111"/>
      <c r="T35" s="24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0" t="s">
        <v>36</v>
      </c>
      <c r="E36" s="253" t="s">
        <v>37</v>
      </c>
      <c r="G36" s="171"/>
      <c r="H36" s="188"/>
      <c r="I36" s="145" t="s">
        <v>44</v>
      </c>
      <c r="J36" s="89">
        <f>(J35/J34)</f>
        <v>15617.354553848654</v>
      </c>
      <c r="K36" s="161"/>
      <c r="L36" s="161"/>
      <c r="M36" s="111"/>
      <c r="T36" s="24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1"/>
      <c r="E37" s="254"/>
      <c r="G37" s="171"/>
      <c r="H37" s="188"/>
      <c r="I37" s="145" t="s">
        <v>45</v>
      </c>
      <c r="J37" s="89">
        <f>$J$28</f>
        <v>1661701.518080316</v>
      </c>
      <c r="K37" s="161"/>
      <c r="L37" s="161"/>
      <c r="M37" s="111"/>
      <c r="T37" s="24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1"/>
      <c r="E38" s="254"/>
      <c r="G38" s="171"/>
      <c r="H38" s="188"/>
      <c r="I38" s="145" t="s">
        <v>46</v>
      </c>
      <c r="J38" s="89">
        <f>(J37/J34)</f>
        <v>1102.6552873791081</v>
      </c>
      <c r="K38" s="161"/>
      <c r="L38" s="161"/>
      <c r="M38" s="111"/>
      <c r="T38" s="24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1"/>
      <c r="E39" s="254"/>
      <c r="G39" s="171"/>
      <c r="H39" s="188"/>
      <c r="I39" s="145" t="s">
        <v>47</v>
      </c>
      <c r="J39" s="89">
        <f>SUM(J35,J37)</f>
        <v>25197054.830730237</v>
      </c>
      <c r="K39" s="161"/>
      <c r="L39" s="161"/>
      <c r="M39" s="111"/>
      <c r="T39" s="24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1"/>
      <c r="E40" s="254"/>
      <c r="G40" s="171"/>
      <c r="H40" s="188"/>
      <c r="I40" s="145" t="s">
        <v>48</v>
      </c>
      <c r="J40" s="89">
        <f>J39/J34</f>
        <v>16720.009841227762</v>
      </c>
      <c r="K40" s="161"/>
      <c r="L40" s="161"/>
      <c r="M40" s="111"/>
      <c r="T40" s="24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1"/>
      <c r="E41" s="254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4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1"/>
      <c r="E42" s="254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4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1"/>
      <c r="E43" s="254"/>
      <c r="G43" s="171"/>
      <c r="H43" s="188"/>
      <c r="I43" s="145" t="s">
        <v>51</v>
      </c>
      <c r="J43" s="207">
        <f>J40/J42</f>
        <v>13.828307722269706</v>
      </c>
      <c r="K43" s="163"/>
      <c r="L43" s="111"/>
      <c r="M43" s="111"/>
      <c r="T43" s="24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1"/>
      <c r="E44" s="254"/>
      <c r="G44" s="171"/>
      <c r="H44" s="188"/>
      <c r="I44" s="145"/>
      <c r="J44" s="111"/>
      <c r="K44" s="111"/>
      <c r="L44" s="111"/>
      <c r="M44" s="111"/>
      <c r="T44" s="24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1"/>
      <c r="E45" s="254"/>
      <c r="G45" s="171"/>
      <c r="H45" s="188"/>
      <c r="I45" s="145"/>
      <c r="J45" s="111"/>
      <c r="K45" s="111"/>
      <c r="L45" s="111"/>
      <c r="M45" s="111"/>
      <c r="T45" s="24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1"/>
      <c r="E46" s="254"/>
      <c r="G46" s="171"/>
      <c r="H46" s="188"/>
      <c r="I46" s="145"/>
      <c r="J46" s="111">
        <v>247125.66942145251</v>
      </c>
      <c r="K46" s="111">
        <v>898813.0796003663</v>
      </c>
      <c r="L46" s="111">
        <v>1004017.2182267847</v>
      </c>
      <c r="M46" s="111">
        <v>92817.456187549309</v>
      </c>
      <c r="N46" s="79">
        <v>407961.83818117657</v>
      </c>
      <c r="O46" s="79">
        <v>7919110.7978499411</v>
      </c>
      <c r="P46" s="79">
        <v>11203248.8400138</v>
      </c>
      <c r="Q46" s="79">
        <v>2131202.6528526191</v>
      </c>
      <c r="R46" s="79">
        <v>233067.85397572117</v>
      </c>
      <c r="S46" s="79">
        <v>178084.93329527156</v>
      </c>
      <c r="T46" s="24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1"/>
      <c r="E47" s="254"/>
      <c r="G47" s="171"/>
      <c r="H47" s="188"/>
      <c r="I47" s="145"/>
      <c r="J47" s="111"/>
      <c r="K47" s="111"/>
      <c r="L47" s="111"/>
      <c r="M47" s="111"/>
      <c r="T47" s="24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1"/>
      <c r="E48" s="254"/>
      <c r="G48" s="171"/>
      <c r="H48" s="188"/>
      <c r="I48" s="145"/>
      <c r="J48" s="111"/>
      <c r="K48" s="111"/>
      <c r="L48" s="111"/>
      <c r="M48" s="111"/>
      <c r="T48" s="24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1"/>
      <c r="E49" s="254"/>
      <c r="G49" s="171"/>
      <c r="H49" s="188"/>
      <c r="I49" s="145"/>
      <c r="J49" s="111"/>
      <c r="K49" s="111"/>
      <c r="L49" s="111"/>
      <c r="M49" s="111"/>
      <c r="T49" s="24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1"/>
      <c r="E50" s="254"/>
      <c r="G50" s="171"/>
      <c r="H50" s="188"/>
      <c r="I50" s="145"/>
      <c r="J50" s="111"/>
      <c r="K50" s="111"/>
      <c r="L50" s="111"/>
      <c r="M50" s="111"/>
      <c r="T50" s="24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1"/>
      <c r="E51" s="254"/>
      <c r="G51" s="171"/>
      <c r="H51" s="188"/>
      <c r="I51" s="145"/>
      <c r="J51" s="111"/>
      <c r="K51" s="111"/>
      <c r="L51" s="111"/>
      <c r="M51" s="111"/>
      <c r="T51" s="24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2"/>
      <c r="E52" s="255"/>
      <c r="G52" s="171"/>
      <c r="H52" s="188"/>
      <c r="I52" s="145"/>
      <c r="J52" s="111"/>
      <c r="K52" s="111"/>
      <c r="L52" s="111"/>
      <c r="M52" s="111"/>
      <c r="T52" s="24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4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4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4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4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4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4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4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4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4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4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4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4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4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4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4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4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4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4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4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S26:S27"/>
    <mergeCell ref="E36:E52"/>
    <mergeCell ref="I26:I27"/>
    <mergeCell ref="J26:J27"/>
    <mergeCell ref="K26:K27"/>
    <mergeCell ref="L26:L27"/>
    <mergeCell ref="M26:M27"/>
    <mergeCell ref="R26:R27"/>
    <mergeCell ref="N11:N12"/>
    <mergeCell ref="O11:O12"/>
    <mergeCell ref="P11:P12"/>
    <mergeCell ref="Q11:Q12"/>
    <mergeCell ref="N26:N27"/>
    <mergeCell ref="O26:O27"/>
    <mergeCell ref="P26:P27"/>
    <mergeCell ref="Q26:Q27"/>
    <mergeCell ref="R11:R12"/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S11:S12"/>
    <mergeCell ref="A16:E16"/>
    <mergeCell ref="I16:I19"/>
    <mergeCell ref="J16:S18"/>
    <mergeCell ref="D36:D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1"/>
  <sheetViews>
    <sheetView topLeftCell="I16" zoomScale="80" zoomScaleNormal="80" workbookViewId="0">
      <selection activeCell="J32" sqref="J32:S32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4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27">
        <v>52</v>
      </c>
      <c r="B1" s="227"/>
      <c r="C1" s="227"/>
      <c r="D1" s="227"/>
      <c r="E1" s="227"/>
      <c r="G1" s="171"/>
      <c r="H1" s="187"/>
      <c r="I1" s="228"/>
      <c r="J1" s="231"/>
      <c r="K1" s="232"/>
      <c r="L1" s="232"/>
      <c r="M1" s="232"/>
      <c r="N1" s="232"/>
      <c r="O1" s="232"/>
      <c r="P1" s="232"/>
      <c r="Q1" s="232"/>
      <c r="R1" s="232"/>
      <c r="S1" s="233"/>
      <c r="T1" s="24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27"/>
      <c r="B2" s="227"/>
      <c r="C2" s="227"/>
      <c r="D2" s="227"/>
      <c r="E2" s="227"/>
      <c r="G2" s="171"/>
      <c r="H2" s="187"/>
      <c r="I2" s="229"/>
      <c r="J2" s="234"/>
      <c r="K2" s="235"/>
      <c r="L2" s="235"/>
      <c r="M2" s="235"/>
      <c r="N2" s="235"/>
      <c r="O2" s="235"/>
      <c r="P2" s="235"/>
      <c r="Q2" s="235"/>
      <c r="R2" s="235"/>
      <c r="S2" s="236"/>
      <c r="T2" s="24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41" t="s">
        <v>5</v>
      </c>
      <c r="B3" s="241"/>
      <c r="C3" s="241"/>
      <c r="D3" s="241"/>
      <c r="E3" s="241"/>
      <c r="G3" s="171"/>
      <c r="H3" s="187"/>
      <c r="I3" s="229"/>
      <c r="J3" s="237"/>
      <c r="K3" s="238"/>
      <c r="L3" s="238"/>
      <c r="M3" s="238"/>
      <c r="N3" s="238"/>
      <c r="O3" s="238"/>
      <c r="P3" s="238"/>
      <c r="Q3" s="238"/>
      <c r="R3" s="238"/>
      <c r="S3" s="239"/>
      <c r="T3" s="24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3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26</v>
      </c>
      <c r="E5" s="129">
        <f>(D5/$A$1)</f>
        <v>0.5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26</v>
      </c>
      <c r="E6" s="129">
        <f t="shared" ref="E6:E8" si="0">(D6/$A$1)</f>
        <v>0.5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28</v>
      </c>
      <c r="E7" s="129">
        <f t="shared" si="0"/>
        <v>0.53846153846153844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13</v>
      </c>
      <c r="E8" s="129">
        <f t="shared" si="0"/>
        <v>0.25</v>
      </c>
      <c r="H8" s="112"/>
      <c r="I8" s="185" t="s">
        <v>157</v>
      </c>
      <c r="J8" s="129">
        <f>E5</f>
        <v>0.5</v>
      </c>
      <c r="K8" s="129">
        <f>E6</f>
        <v>0.5</v>
      </c>
      <c r="L8" s="129">
        <f>E7</f>
        <v>0.53846153846153844</v>
      </c>
      <c r="M8" s="129">
        <f>E8</f>
        <v>0.25</v>
      </c>
      <c r="N8" s="153">
        <f>E12</f>
        <v>3.8461538461538464E-2</v>
      </c>
      <c r="O8" s="153">
        <f>E13</f>
        <v>0.19230769230769232</v>
      </c>
      <c r="P8" s="153">
        <f>E14</f>
        <v>0.5</v>
      </c>
      <c r="Q8" s="153">
        <f>E15</f>
        <v>0.19230769230769232</v>
      </c>
      <c r="R8" s="153">
        <f>E14</f>
        <v>0.5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42" t="s">
        <v>28</v>
      </c>
      <c r="B9" s="242"/>
      <c r="C9" s="242"/>
      <c r="D9" s="242"/>
      <c r="E9" s="242"/>
      <c r="I9" s="185" t="s">
        <v>29</v>
      </c>
      <c r="J9" s="164">
        <f t="shared" ref="J9:S9" si="1">J5*J6*J7*J8</f>
        <v>18.084</v>
      </c>
      <c r="K9" s="164">
        <f t="shared" si="1"/>
        <v>157.46643</v>
      </c>
      <c r="L9" s="165">
        <f t="shared" si="1"/>
        <v>42.066166153846154</v>
      </c>
      <c r="M9" s="166">
        <f t="shared" si="1"/>
        <v>13.688081</v>
      </c>
      <c r="N9" s="164">
        <f t="shared" si="1"/>
        <v>2.8552357859531776</v>
      </c>
      <c r="O9" s="164">
        <f t="shared" si="1"/>
        <v>53.556461538461541</v>
      </c>
      <c r="P9" s="164">
        <f t="shared" si="1"/>
        <v>286.33</v>
      </c>
      <c r="Q9" s="164">
        <f t="shared" si="1"/>
        <v>48.397884615384619</v>
      </c>
      <c r="R9" s="164">
        <f>PRODUCT(R5:R8)</f>
        <v>60.430699999999995</v>
      </c>
      <c r="S9" s="164">
        <f t="shared" si="1"/>
        <v>70.133461538461546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42"/>
      <c r="B10" s="242"/>
      <c r="C10" s="242"/>
      <c r="D10" s="242"/>
      <c r="E10" s="242"/>
      <c r="I10" s="185" t="s">
        <v>30</v>
      </c>
      <c r="J10" s="154">
        <f>'Colorectal Benefit'!$F$16</f>
        <v>14907.514737603546</v>
      </c>
      <c r="K10" s="154">
        <f>'Heart Disease Benefit'!$G$16</f>
        <v>5481.0227042652114</v>
      </c>
      <c r="L10" s="154">
        <f>'Stroke Benefits'!$G$18</f>
        <v>21263.67263011451</v>
      </c>
      <c r="M10" s="154">
        <f>'Hypertension Benefit'!$G$29</f>
        <v>1418.8495275985588</v>
      </c>
      <c r="N10" s="154">
        <f>osteoporosis!$C$35</f>
        <v>139409.29282534606</v>
      </c>
      <c r="O10" s="154">
        <f>'Type 2 Diabeties'!$C$31</f>
        <v>88685.105192324641</v>
      </c>
      <c r="P10" s="154">
        <f>Obesity!$C$45</f>
        <v>42711.261846771878</v>
      </c>
      <c r="Q10" s="154">
        <f>FIGURES!$F$14</f>
        <v>42402.559854710737</v>
      </c>
      <c r="R10" s="154">
        <f>FIGURES!$F$17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42"/>
      <c r="B11" s="242"/>
      <c r="C11" s="242"/>
      <c r="D11" s="242"/>
      <c r="E11" s="242"/>
      <c r="I11" s="185" t="s">
        <v>31</v>
      </c>
      <c r="J11" s="243">
        <f t="shared" ref="J11:S11" si="2">J9*J10</f>
        <v>269587.49651482253</v>
      </c>
      <c r="K11" s="243">
        <f t="shared" si="2"/>
        <v>863077.07798958861</v>
      </c>
      <c r="L11" s="245">
        <f t="shared" si="2"/>
        <v>894481.18589938781</v>
      </c>
      <c r="M11" s="247">
        <f t="shared" si="2"/>
        <v>19421.327260580809</v>
      </c>
      <c r="N11" s="243">
        <f t="shared" si="2"/>
        <v>398046.40176935366</v>
      </c>
      <c r="O11" s="243">
        <f t="shared" si="2"/>
        <v>4749660.4252671506</v>
      </c>
      <c r="P11" s="243">
        <f t="shared" si="2"/>
        <v>12229515.604586191</v>
      </c>
      <c r="Q11" s="243">
        <f t="shared" si="2"/>
        <v>2052194.1992452303</v>
      </c>
      <c r="R11" s="225">
        <f>R9*R10</f>
        <v>1317340.0442105979</v>
      </c>
      <c r="S11" s="243">
        <f t="shared" si="2"/>
        <v>178084.93329527156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44"/>
      <c r="K12" s="244"/>
      <c r="L12" s="246"/>
      <c r="M12" s="248"/>
      <c r="N12" s="242"/>
      <c r="O12" s="242"/>
      <c r="P12" s="242"/>
      <c r="Q12" s="242"/>
      <c r="R12" s="226"/>
      <c r="S12" s="242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10</v>
      </c>
      <c r="E13" s="129">
        <f t="shared" ref="E13:E15" si="3">(D13/$A$1)</f>
        <v>0.19230769230769232</v>
      </c>
      <c r="F13" s="134"/>
      <c r="G13" s="171"/>
      <c r="H13" s="112"/>
      <c r="I13" s="185" t="s">
        <v>33</v>
      </c>
      <c r="J13" s="155">
        <f>SUM(J11:S12)</f>
        <v>22971408.696038175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4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26</v>
      </c>
      <c r="E14" s="129">
        <f t="shared" si="3"/>
        <v>0.5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49" t="s">
        <v>35</v>
      </c>
      <c r="B16" s="249"/>
      <c r="C16" s="249"/>
      <c r="D16" s="249"/>
      <c r="E16" s="249"/>
      <c r="I16" s="228"/>
      <c r="J16" s="231"/>
      <c r="K16" s="232"/>
      <c r="L16" s="232"/>
      <c r="M16" s="232"/>
      <c r="N16" s="232"/>
      <c r="O16" s="232"/>
      <c r="P16" s="232"/>
      <c r="Q16" s="232"/>
      <c r="R16" s="232"/>
      <c r="S16" s="23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/>
      <c r="C17" s="48"/>
      <c r="D17" s="206">
        <v>11</v>
      </c>
      <c r="E17" s="129">
        <f>(D17/$A$1)</f>
        <v>0.21153846153846154</v>
      </c>
      <c r="H17" s="112"/>
      <c r="I17" s="229"/>
      <c r="J17" s="234"/>
      <c r="K17" s="235"/>
      <c r="L17" s="235"/>
      <c r="M17" s="235"/>
      <c r="N17" s="235"/>
      <c r="O17" s="235"/>
      <c r="P17" s="235"/>
      <c r="Q17" s="235"/>
      <c r="R17" s="235"/>
      <c r="S17" s="23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9"/>
      <c r="D18" s="221">
        <v>2</v>
      </c>
      <c r="E18" s="222">
        <f>(D18/$A$1)</f>
        <v>3.8461538461538464E-2</v>
      </c>
      <c r="G18" s="171"/>
      <c r="H18" s="188"/>
      <c r="I18" s="229"/>
      <c r="J18" s="237"/>
      <c r="K18" s="238"/>
      <c r="L18" s="238"/>
      <c r="M18" s="238"/>
      <c r="N18" s="238"/>
      <c r="O18" s="238"/>
      <c r="P18" s="238"/>
      <c r="Q18" s="238"/>
      <c r="R18" s="238"/>
      <c r="S18" s="239"/>
      <c r="T18" s="24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3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/>
      <c r="S19" s="120" t="s">
        <v>20</v>
      </c>
      <c r="T19" s="24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206">
        <v>1507</v>
      </c>
      <c r="O20" s="206">
        <v>1507</v>
      </c>
      <c r="P20" s="206">
        <v>1507</v>
      </c>
      <c r="Q20" s="206">
        <v>1507</v>
      </c>
      <c r="R20" s="211"/>
      <c r="S20" s="206">
        <v>1507</v>
      </c>
      <c r="T20" s="24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4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/>
      <c r="S22" s="128">
        <v>0.22</v>
      </c>
      <c r="T22" s="24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157</v>
      </c>
      <c r="J23" s="129">
        <f t="shared" ref="J23:S24" si="4">J8</f>
        <v>0.5</v>
      </c>
      <c r="K23" s="129">
        <f t="shared" si="4"/>
        <v>0.5</v>
      </c>
      <c r="L23" s="129">
        <f t="shared" si="4"/>
        <v>0.53846153846153844</v>
      </c>
      <c r="M23" s="129">
        <f t="shared" si="4"/>
        <v>0.25</v>
      </c>
      <c r="N23" s="153">
        <f t="shared" si="4"/>
        <v>3.8461538461538464E-2</v>
      </c>
      <c r="O23" s="153">
        <f t="shared" si="4"/>
        <v>0.19230769230769232</v>
      </c>
      <c r="P23" s="153">
        <f t="shared" si="4"/>
        <v>0.5</v>
      </c>
      <c r="Q23" s="153">
        <f t="shared" si="4"/>
        <v>0.19230769230769232</v>
      </c>
      <c r="R23" s="153"/>
      <c r="S23" s="153">
        <f t="shared" si="4"/>
        <v>0.21153846153846154</v>
      </c>
      <c r="T23" s="24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18.084</v>
      </c>
      <c r="K24" s="164">
        <f t="shared" si="4"/>
        <v>157.46643</v>
      </c>
      <c r="L24" s="165">
        <f t="shared" si="4"/>
        <v>42.066166153846154</v>
      </c>
      <c r="M24" s="166">
        <f t="shared" si="4"/>
        <v>13.688081</v>
      </c>
      <c r="N24" s="164">
        <f t="shared" si="4"/>
        <v>2.8552357859531776</v>
      </c>
      <c r="O24" s="164">
        <f t="shared" si="4"/>
        <v>53.556461538461541</v>
      </c>
      <c r="P24" s="164">
        <f t="shared" si="4"/>
        <v>286.33</v>
      </c>
      <c r="Q24" s="164">
        <f t="shared" si="4"/>
        <v>48.397884615384619</v>
      </c>
      <c r="R24" s="164"/>
      <c r="S24" s="164">
        <f t="shared" si="4"/>
        <v>70.133461538461546</v>
      </c>
      <c r="T24" s="24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1242.5410750630153</v>
      </c>
      <c r="K25" s="155">
        <f>'Heart Disease Benefit'!$S$16</f>
        <v>1264.7556786428504</v>
      </c>
      <c r="L25" s="155">
        <f>'Stroke Benefits'!$U$18</f>
        <v>3487.8827485273468</v>
      </c>
      <c r="M25" s="155">
        <f>'Hypertension Benefit'!$S$29</f>
        <v>4090.6286200237264</v>
      </c>
      <c r="N25" s="155">
        <f>osteoporosis!$M$22</f>
        <v>3472.7206980956112</v>
      </c>
      <c r="O25" s="155">
        <f>'Type 2 Diabeties'!$Q$18</f>
        <v>3730.3402362679958</v>
      </c>
      <c r="P25" s="155">
        <f>Obesity!$N$32</f>
        <v>3529.7997763963713</v>
      </c>
      <c r="Q25" s="155">
        <f>FIGURES!$G$14</f>
        <v>1632.4774158057662</v>
      </c>
      <c r="R25" s="155"/>
      <c r="S25" s="204">
        <v>0</v>
      </c>
      <c r="T25" s="24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56" t="s">
        <v>40</v>
      </c>
      <c r="J26" s="225">
        <f t="shared" ref="J26:S26" si="5">J24*J25</f>
        <v>22470.112801439569</v>
      </c>
      <c r="K26" s="225">
        <f t="shared" si="5"/>
        <v>199156.56153811689</v>
      </c>
      <c r="L26" s="257">
        <f t="shared" si="5"/>
        <v>146721.85522468499</v>
      </c>
      <c r="M26" s="259">
        <f t="shared" si="5"/>
        <v>55992.855891802988</v>
      </c>
      <c r="N26" s="225">
        <f t="shared" si="5"/>
        <v>9915.4364118228896</v>
      </c>
      <c r="O26" s="225">
        <f t="shared" si="5"/>
        <v>199783.82338906245</v>
      </c>
      <c r="P26" s="225">
        <f t="shared" si="5"/>
        <v>1010687.569975573</v>
      </c>
      <c r="Q26" s="225">
        <f t="shared" si="5"/>
        <v>79008.453607388728</v>
      </c>
      <c r="R26" s="209"/>
      <c r="S26" s="225">
        <f t="shared" si="5"/>
        <v>0</v>
      </c>
      <c r="T26" s="24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56"/>
      <c r="J27" s="226"/>
      <c r="K27" s="226"/>
      <c r="L27" s="258"/>
      <c r="M27" s="260"/>
      <c r="N27" s="226"/>
      <c r="O27" s="226"/>
      <c r="P27" s="226"/>
      <c r="Q27" s="226"/>
      <c r="R27" s="210"/>
      <c r="S27" s="226"/>
      <c r="T27" s="24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1723736.6688398914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4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4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4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292057.60931626213</v>
      </c>
      <c r="K31" s="161">
        <f t="shared" si="6"/>
        <v>1062233.6395277055</v>
      </c>
      <c r="L31" s="161">
        <f t="shared" si="6"/>
        <v>1041203.0411240729</v>
      </c>
      <c r="M31" s="161">
        <f t="shared" si="6"/>
        <v>75414.183152383805</v>
      </c>
      <c r="N31" s="161">
        <f t="shared" si="6"/>
        <v>407961.83818117657</v>
      </c>
      <c r="O31" s="161">
        <f t="shared" si="6"/>
        <v>4949444.2486562133</v>
      </c>
      <c r="P31" s="161">
        <f t="shared" si="6"/>
        <v>13240203.174561765</v>
      </c>
      <c r="Q31" s="161">
        <f t="shared" si="6"/>
        <v>2131202.6528526191</v>
      </c>
      <c r="R31" s="161">
        <f t="shared" si="6"/>
        <v>1317340.0442105979</v>
      </c>
      <c r="S31" s="161">
        <f t="shared" si="6"/>
        <v>178084.93329527156</v>
      </c>
      <c r="T31" s="24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292057.60931626213</v>
      </c>
      <c r="K32" s="111">
        <v>1062233.6395277055</v>
      </c>
      <c r="L32" s="111">
        <v>1041203.0411240729</v>
      </c>
      <c r="M32" s="111">
        <v>75414.183152383805</v>
      </c>
      <c r="N32" s="79">
        <v>407961.83818117657</v>
      </c>
      <c r="O32" s="79">
        <v>4949444.2486562133</v>
      </c>
      <c r="P32" s="79">
        <v>13240203.174561765</v>
      </c>
      <c r="Q32" s="79">
        <v>2131202.6528526191</v>
      </c>
      <c r="R32" s="79">
        <v>1317340.0442105979</v>
      </c>
      <c r="S32" s="79">
        <v>178084.93329527156</v>
      </c>
      <c r="T32" s="24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4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4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22971408.696038175</v>
      </c>
      <c r="K35" s="161"/>
      <c r="L35" s="161"/>
      <c r="M35" s="111"/>
      <c r="T35" s="24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0" t="s">
        <v>36</v>
      </c>
      <c r="E36" s="253" t="s">
        <v>37</v>
      </c>
      <c r="G36" s="171"/>
      <c r="H36" s="188"/>
      <c r="I36" s="145" t="s">
        <v>44</v>
      </c>
      <c r="J36" s="89">
        <f>(J35/J34)</f>
        <v>15243.13782086143</v>
      </c>
      <c r="K36" s="161"/>
      <c r="L36" s="161"/>
      <c r="M36" s="111"/>
      <c r="T36" s="24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1"/>
      <c r="E37" s="254"/>
      <c r="G37" s="171"/>
      <c r="H37" s="188"/>
      <c r="I37" s="145" t="s">
        <v>45</v>
      </c>
      <c r="J37" s="89">
        <f>$J$28</f>
        <v>1723736.6688398914</v>
      </c>
      <c r="K37" s="161"/>
      <c r="L37" s="161"/>
      <c r="M37" s="111"/>
      <c r="T37" s="24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1"/>
      <c r="E38" s="254"/>
      <c r="G38" s="171"/>
      <c r="H38" s="188"/>
      <c r="I38" s="145" t="s">
        <v>46</v>
      </c>
      <c r="J38" s="89">
        <f>(J37/J34)</f>
        <v>1143.8199527802863</v>
      </c>
      <c r="K38" s="161"/>
      <c r="L38" s="161"/>
      <c r="M38" s="111"/>
      <c r="T38" s="24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1"/>
      <c r="E39" s="254"/>
      <c r="G39" s="171"/>
      <c r="H39" s="188"/>
      <c r="I39" s="145" t="s">
        <v>47</v>
      </c>
      <c r="J39" s="89">
        <f>SUM(J35,J37)</f>
        <v>24695145.364878066</v>
      </c>
      <c r="K39" s="161"/>
      <c r="L39" s="161"/>
      <c r="M39" s="111"/>
      <c r="T39" s="24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1"/>
      <c r="E40" s="254"/>
      <c r="G40" s="171"/>
      <c r="H40" s="188"/>
      <c r="I40" s="145" t="s">
        <v>48</v>
      </c>
      <c r="J40" s="89">
        <f>J39/J34</f>
        <v>16386.957773641716</v>
      </c>
      <c r="K40" s="161"/>
      <c r="L40" s="161"/>
      <c r="M40" s="111"/>
      <c r="T40" s="24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1"/>
      <c r="E41" s="254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4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1"/>
      <c r="E42" s="254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4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1"/>
      <c r="E43" s="254"/>
      <c r="G43" s="171"/>
      <c r="H43" s="188"/>
      <c r="I43" s="145" t="s">
        <v>51</v>
      </c>
      <c r="J43" s="207">
        <f>J40/J42</f>
        <v>13.552856540012517</v>
      </c>
      <c r="K43" s="163"/>
      <c r="L43" s="111"/>
      <c r="M43" s="111"/>
      <c r="T43" s="24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1"/>
      <c r="E44" s="254"/>
      <c r="G44" s="171"/>
      <c r="H44" s="188"/>
      <c r="I44" s="145"/>
      <c r="J44" s="111"/>
      <c r="K44" s="111"/>
      <c r="L44" s="111"/>
      <c r="M44" s="111"/>
      <c r="T44" s="24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1"/>
      <c r="E45" s="254"/>
      <c r="G45" s="171"/>
      <c r="H45" s="188"/>
      <c r="I45" s="145"/>
      <c r="J45" s="111"/>
      <c r="K45" s="111"/>
      <c r="L45" s="111"/>
      <c r="M45" s="111"/>
      <c r="T45" s="24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1"/>
      <c r="E46" s="254"/>
      <c r="G46" s="171"/>
      <c r="H46" s="188"/>
      <c r="I46" s="145"/>
      <c r="J46" s="111"/>
      <c r="K46" s="111"/>
      <c r="L46" s="111"/>
      <c r="M46" s="111"/>
      <c r="T46" s="24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1"/>
      <c r="E47" s="254"/>
      <c r="G47" s="171"/>
      <c r="H47" s="188"/>
      <c r="I47" s="145"/>
      <c r="J47" s="111"/>
      <c r="K47" s="111"/>
      <c r="L47" s="111"/>
      <c r="M47" s="111"/>
      <c r="T47" s="24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1"/>
      <c r="E48" s="254"/>
      <c r="G48" s="171"/>
      <c r="H48" s="188"/>
      <c r="I48" s="145"/>
      <c r="J48" s="111"/>
      <c r="K48" s="111"/>
      <c r="L48" s="111"/>
      <c r="M48" s="111"/>
      <c r="T48" s="24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1"/>
      <c r="E49" s="254"/>
      <c r="G49" s="171"/>
      <c r="H49" s="188"/>
      <c r="I49" s="145"/>
      <c r="J49" s="111"/>
      <c r="K49" s="111"/>
      <c r="L49" s="111"/>
      <c r="M49" s="111"/>
      <c r="T49" s="24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1"/>
      <c r="E50" s="254"/>
      <c r="G50" s="171"/>
      <c r="H50" s="188"/>
      <c r="I50" s="145"/>
      <c r="J50" s="111"/>
      <c r="K50" s="111"/>
      <c r="L50" s="111"/>
      <c r="M50" s="111"/>
      <c r="T50" s="24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1"/>
      <c r="E51" s="254"/>
      <c r="G51" s="171"/>
      <c r="H51" s="188"/>
      <c r="I51" s="145"/>
      <c r="J51" s="111"/>
      <c r="K51" s="111"/>
      <c r="L51" s="111"/>
      <c r="M51" s="111"/>
      <c r="T51" s="24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2"/>
      <c r="E52" s="255"/>
      <c r="G52" s="171"/>
      <c r="H52" s="188"/>
      <c r="I52" s="145"/>
      <c r="J52" s="111"/>
      <c r="K52" s="111"/>
      <c r="L52" s="111"/>
      <c r="M52" s="111"/>
      <c r="T52" s="24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4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4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4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4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4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4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4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4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4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4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4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4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4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4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4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4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4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4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4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1">
    <mergeCell ref="S26:S27"/>
    <mergeCell ref="E36:E52"/>
    <mergeCell ref="I26:I27"/>
    <mergeCell ref="J26:J27"/>
    <mergeCell ref="K26:K27"/>
    <mergeCell ref="L26:L27"/>
    <mergeCell ref="M26:M27"/>
    <mergeCell ref="N11:N12"/>
    <mergeCell ref="O11:O12"/>
    <mergeCell ref="P11:P12"/>
    <mergeCell ref="Q11:Q12"/>
    <mergeCell ref="N26:N27"/>
    <mergeCell ref="O26:O27"/>
    <mergeCell ref="P26:P27"/>
    <mergeCell ref="Q26:Q27"/>
    <mergeCell ref="R11:R12"/>
    <mergeCell ref="A1:E2"/>
    <mergeCell ref="I1:I4"/>
    <mergeCell ref="J1:S3"/>
    <mergeCell ref="T1:T1048576"/>
    <mergeCell ref="A3:E3"/>
    <mergeCell ref="A9:E11"/>
    <mergeCell ref="J11:J12"/>
    <mergeCell ref="K11:K12"/>
    <mergeCell ref="L11:L12"/>
    <mergeCell ref="M11:M12"/>
    <mergeCell ref="S11:S12"/>
    <mergeCell ref="A16:E16"/>
    <mergeCell ref="I16:I19"/>
    <mergeCell ref="J16:S18"/>
    <mergeCell ref="D36:D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1"/>
  <sheetViews>
    <sheetView topLeftCell="I19" zoomScale="80" zoomScaleNormal="80" workbookViewId="0">
      <selection activeCell="J32" sqref="J32:S32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5.5703125" style="118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4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27">
        <v>52</v>
      </c>
      <c r="B1" s="227"/>
      <c r="C1" s="227"/>
      <c r="D1" s="227"/>
      <c r="E1" s="227"/>
      <c r="G1" s="171"/>
      <c r="H1" s="187"/>
      <c r="I1" s="228"/>
      <c r="J1" s="231"/>
      <c r="K1" s="232"/>
      <c r="L1" s="232"/>
      <c r="M1" s="232"/>
      <c r="N1" s="232"/>
      <c r="O1" s="232"/>
      <c r="P1" s="232"/>
      <c r="Q1" s="232"/>
      <c r="R1" s="232"/>
      <c r="S1" s="233"/>
      <c r="T1" s="24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27"/>
      <c r="B2" s="227"/>
      <c r="C2" s="227"/>
      <c r="D2" s="227"/>
      <c r="E2" s="227"/>
      <c r="G2" s="171"/>
      <c r="H2" s="187"/>
      <c r="I2" s="229"/>
      <c r="J2" s="234"/>
      <c r="K2" s="235"/>
      <c r="L2" s="235"/>
      <c r="M2" s="235"/>
      <c r="N2" s="235"/>
      <c r="O2" s="235"/>
      <c r="P2" s="235"/>
      <c r="Q2" s="235"/>
      <c r="R2" s="235"/>
      <c r="S2" s="236"/>
      <c r="T2" s="24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41" t="s">
        <v>5</v>
      </c>
      <c r="B3" s="241"/>
      <c r="C3" s="241"/>
      <c r="D3" s="241"/>
      <c r="E3" s="241"/>
      <c r="G3" s="171"/>
      <c r="H3" s="187"/>
      <c r="I3" s="229"/>
      <c r="J3" s="237"/>
      <c r="K3" s="238"/>
      <c r="L3" s="238"/>
      <c r="M3" s="238"/>
      <c r="N3" s="238"/>
      <c r="O3" s="238"/>
      <c r="P3" s="238"/>
      <c r="Q3" s="238"/>
      <c r="R3" s="238"/>
      <c r="S3" s="239"/>
      <c r="T3" s="24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3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206">
        <v>26</v>
      </c>
      <c r="E5" s="129">
        <f>(D5/$A$1)</f>
        <v>0.5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206">
        <v>1507</v>
      </c>
      <c r="O5" s="206">
        <v>1507</v>
      </c>
      <c r="P5" s="206">
        <v>1507</v>
      </c>
      <c r="Q5" s="206">
        <v>1507</v>
      </c>
      <c r="R5" s="211">
        <f>recalls!R5</f>
        <v>1507</v>
      </c>
      <c r="S5" s="20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206">
        <v>26</v>
      </c>
      <c r="E6" s="129">
        <f t="shared" ref="E6:E8" si="0">(D6/$A$1)</f>
        <v>0.5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f>recalls!R6</f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206">
        <v>23</v>
      </c>
      <c r="E7" s="129">
        <f t="shared" si="0"/>
        <v>0.44230769230769229</v>
      </c>
      <c r="H7" s="112"/>
      <c r="I7" s="185" t="s">
        <v>156</v>
      </c>
      <c r="J7" s="128">
        <v>0.3</v>
      </c>
      <c r="K7" s="128">
        <v>0.81</v>
      </c>
      <c r="L7" s="128">
        <v>0.64</v>
      </c>
      <c r="M7" s="128">
        <v>0.124</v>
      </c>
      <c r="N7" s="128">
        <v>0.47826086956521741</v>
      </c>
      <c r="O7" s="128">
        <v>0.66</v>
      </c>
      <c r="P7" s="128">
        <v>1</v>
      </c>
      <c r="Q7" s="128">
        <v>1</v>
      </c>
      <c r="R7" s="128">
        <f>recalls!R7</f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206">
        <v>17</v>
      </c>
      <c r="E8" s="129">
        <f t="shared" si="0"/>
        <v>0.32692307692307693</v>
      </c>
      <c r="H8" s="112"/>
      <c r="I8" s="185" t="s">
        <v>157</v>
      </c>
      <c r="J8" s="129">
        <f>E5</f>
        <v>0.5</v>
      </c>
      <c r="K8" s="129">
        <f>E6</f>
        <v>0.5</v>
      </c>
      <c r="L8" s="129">
        <f>E7</f>
        <v>0.44230769230769229</v>
      </c>
      <c r="M8" s="129">
        <f>E8</f>
        <v>0.32692307692307693</v>
      </c>
      <c r="N8" s="153">
        <f>E12</f>
        <v>3.8461538461538464E-2</v>
      </c>
      <c r="O8" s="153">
        <f>E13</f>
        <v>0.17307692307692307</v>
      </c>
      <c r="P8" s="153">
        <f>E14</f>
        <v>0.5</v>
      </c>
      <c r="Q8" s="153">
        <f>E15</f>
        <v>0.19230769230769232</v>
      </c>
      <c r="R8" s="153">
        <f>E14</f>
        <v>0.5</v>
      </c>
      <c r="S8" s="153">
        <f>E17</f>
        <v>0.21153846153846154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 ht="30">
      <c r="A9" s="242" t="s">
        <v>28</v>
      </c>
      <c r="B9" s="242"/>
      <c r="C9" s="242"/>
      <c r="D9" s="242"/>
      <c r="E9" s="242"/>
      <c r="I9" s="185" t="s">
        <v>29</v>
      </c>
      <c r="J9" s="164">
        <f t="shared" ref="J9:S9" si="1">J5*J6*J7*J8</f>
        <v>18.084</v>
      </c>
      <c r="K9" s="164">
        <f t="shared" si="1"/>
        <v>157.46643</v>
      </c>
      <c r="L9" s="165">
        <f t="shared" si="1"/>
        <v>34.554350769230773</v>
      </c>
      <c r="M9" s="166">
        <f t="shared" si="1"/>
        <v>17.899798230769232</v>
      </c>
      <c r="N9" s="164">
        <f t="shared" si="1"/>
        <v>2.8552357859531776</v>
      </c>
      <c r="O9" s="164">
        <f t="shared" si="1"/>
        <v>48.200815384615389</v>
      </c>
      <c r="P9" s="164">
        <f t="shared" si="1"/>
        <v>286.33</v>
      </c>
      <c r="Q9" s="164">
        <f t="shared" si="1"/>
        <v>48.397884615384619</v>
      </c>
      <c r="R9" s="164">
        <f>PRODUCT(R5:R8)</f>
        <v>60.430699999999995</v>
      </c>
      <c r="S9" s="164">
        <f t="shared" si="1"/>
        <v>70.133461538461546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42"/>
      <c r="B10" s="242"/>
      <c r="C10" s="242"/>
      <c r="D10" s="242"/>
      <c r="E10" s="242"/>
      <c r="I10" s="185" t="s">
        <v>30</v>
      </c>
      <c r="J10" s="154">
        <f>'Colorectal Benefit'!$F$16</f>
        <v>14907.514737603546</v>
      </c>
      <c r="K10" s="154">
        <f>'Heart Disease Benefit'!$G$16</f>
        <v>5481.0227042652114</v>
      </c>
      <c r="L10" s="154">
        <f>'Stroke Benefits'!$G$18</f>
        <v>21263.67263011451</v>
      </c>
      <c r="M10" s="154">
        <f>'Hypertension Benefit'!$G$29</f>
        <v>1418.8495275985588</v>
      </c>
      <c r="N10" s="154">
        <f>osteoporosis!$C$35</f>
        <v>139409.29282534606</v>
      </c>
      <c r="O10" s="154">
        <f>'Type 2 Diabeties'!$C$31</f>
        <v>88685.105192324641</v>
      </c>
      <c r="P10" s="154">
        <f>Obesity!$C$45</f>
        <v>42711.261846771878</v>
      </c>
      <c r="Q10" s="154">
        <f>FIGURES!$F$14</f>
        <v>42402.559854710737</v>
      </c>
      <c r="R10" s="154">
        <f>recalls!R10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42"/>
      <c r="B11" s="242"/>
      <c r="C11" s="242"/>
      <c r="D11" s="242"/>
      <c r="E11" s="242"/>
      <c r="I11" s="185" t="s">
        <v>31</v>
      </c>
      <c r="J11" s="243">
        <f t="shared" ref="J11:S11" si="2">J9*J10</f>
        <v>269587.49651482253</v>
      </c>
      <c r="K11" s="243">
        <f t="shared" si="2"/>
        <v>863077.07798958861</v>
      </c>
      <c r="L11" s="245">
        <f t="shared" si="2"/>
        <v>734752.40270306868</v>
      </c>
      <c r="M11" s="247">
        <f t="shared" si="2"/>
        <v>25397.120263836441</v>
      </c>
      <c r="N11" s="243">
        <f t="shared" si="2"/>
        <v>398046.40176935366</v>
      </c>
      <c r="O11" s="243">
        <f t="shared" si="2"/>
        <v>4274694.3827404361</v>
      </c>
      <c r="P11" s="243">
        <f t="shared" si="2"/>
        <v>12229515.604586191</v>
      </c>
      <c r="Q11" s="243">
        <f t="shared" si="2"/>
        <v>2052194.1992452303</v>
      </c>
      <c r="R11" s="225">
        <f>recalls!R11</f>
        <v>131734.0044210598</v>
      </c>
      <c r="S11" s="243">
        <f t="shared" si="2"/>
        <v>178084.93329527156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206">
        <v>2</v>
      </c>
      <c r="E12" s="129">
        <f>(D12/$A$1)</f>
        <v>3.8461538461538464E-2</v>
      </c>
      <c r="H12" s="112"/>
      <c r="I12" s="185"/>
      <c r="J12" s="244"/>
      <c r="K12" s="244"/>
      <c r="L12" s="246"/>
      <c r="M12" s="248"/>
      <c r="N12" s="242"/>
      <c r="O12" s="242"/>
      <c r="P12" s="242"/>
      <c r="Q12" s="242"/>
      <c r="R12" s="226"/>
      <c r="S12" s="242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206">
        <v>9</v>
      </c>
      <c r="E13" s="129">
        <f t="shared" ref="E13:E15" si="3">(D13/$A$1)</f>
        <v>0.17307692307692307</v>
      </c>
      <c r="F13" s="134"/>
      <c r="G13" s="171"/>
      <c r="H13" s="112"/>
      <c r="I13" s="185" t="s">
        <v>33</v>
      </c>
      <c r="J13" s="155">
        <f>SUM(J11:S12)</f>
        <v>21157083.623528857</v>
      </c>
      <c r="K13" s="155"/>
      <c r="L13" s="155"/>
      <c r="M13" s="155"/>
      <c r="N13" s="155"/>
      <c r="O13" s="155"/>
      <c r="P13" s="155"/>
      <c r="Q13" s="155"/>
      <c r="R13" s="155"/>
      <c r="S13" s="204"/>
      <c r="T13" s="24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206">
        <v>26</v>
      </c>
      <c r="E14" s="129">
        <f t="shared" si="3"/>
        <v>0.5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206">
        <v>10</v>
      </c>
      <c r="E15" s="129">
        <f t="shared" si="3"/>
        <v>0.19230769230769232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49" t="s">
        <v>35</v>
      </c>
      <c r="B16" s="249"/>
      <c r="C16" s="249"/>
      <c r="D16" s="249"/>
      <c r="E16" s="249"/>
      <c r="I16" s="228"/>
      <c r="J16" s="231"/>
      <c r="K16" s="232"/>
      <c r="L16" s="232"/>
      <c r="M16" s="232"/>
      <c r="N16" s="232"/>
      <c r="O16" s="232"/>
      <c r="P16" s="232"/>
      <c r="Q16" s="232"/>
      <c r="R16" s="232"/>
      <c r="S16" s="23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206">
        <v>11</v>
      </c>
      <c r="E17" s="129">
        <f>(D17/$A$1)</f>
        <v>0.21153846153846154</v>
      </c>
      <c r="H17" s="112"/>
      <c r="I17" s="229"/>
      <c r="J17" s="234"/>
      <c r="K17" s="235"/>
      <c r="L17" s="235"/>
      <c r="M17" s="235"/>
      <c r="N17" s="235"/>
      <c r="O17" s="235"/>
      <c r="P17" s="235"/>
      <c r="Q17" s="235"/>
      <c r="R17" s="235"/>
      <c r="S17" s="23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205"/>
      <c r="B18" s="205"/>
      <c r="C18" s="219"/>
      <c r="D18" s="221">
        <v>2</v>
      </c>
      <c r="E18" s="222">
        <f>(D18/$A$1)</f>
        <v>3.8461538461538464E-2</v>
      </c>
      <c r="G18" s="171"/>
      <c r="H18" s="188"/>
      <c r="I18" s="229"/>
      <c r="J18" s="237"/>
      <c r="K18" s="238"/>
      <c r="L18" s="238"/>
      <c r="M18" s="238"/>
      <c r="N18" s="238"/>
      <c r="O18" s="238"/>
      <c r="P18" s="238"/>
      <c r="Q18" s="238"/>
      <c r="R18" s="238"/>
      <c r="S18" s="239"/>
      <c r="T18" s="24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3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 t="s">
        <v>83</v>
      </c>
      <c r="S19" s="120" t="s">
        <v>20</v>
      </c>
      <c r="T19" s="24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206">
        <v>1507</v>
      </c>
      <c r="O20" s="206">
        <v>1507</v>
      </c>
      <c r="P20" s="206">
        <v>1507</v>
      </c>
      <c r="Q20" s="206">
        <v>1507</v>
      </c>
      <c r="R20" s="211">
        <v>1507</v>
      </c>
      <c r="S20" s="206">
        <v>1507</v>
      </c>
      <c r="T20" s="24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>
        <v>8.0199999999999994E-2</v>
      </c>
      <c r="S21" s="127">
        <v>1</v>
      </c>
      <c r="T21" s="24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156</v>
      </c>
      <c r="J22" s="128">
        <v>0.3</v>
      </c>
      <c r="K22" s="128">
        <v>0.81</v>
      </c>
      <c r="L22" s="128">
        <v>0.64</v>
      </c>
      <c r="M22" s="128">
        <v>0.124</v>
      </c>
      <c r="N22" s="128">
        <v>0.47826086956521741</v>
      </c>
      <c r="O22" s="128">
        <v>0.66</v>
      </c>
      <c r="P22" s="128">
        <v>1</v>
      </c>
      <c r="Q22" s="128">
        <v>1</v>
      </c>
      <c r="R22" s="128">
        <v>1</v>
      </c>
      <c r="S22" s="128">
        <v>0.22</v>
      </c>
      <c r="T22" s="24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157</v>
      </c>
      <c r="J23" s="129">
        <f t="shared" ref="J23:S24" si="4">J8</f>
        <v>0.5</v>
      </c>
      <c r="K23" s="129">
        <f t="shared" si="4"/>
        <v>0.5</v>
      </c>
      <c r="L23" s="129">
        <f t="shared" si="4"/>
        <v>0.44230769230769229</v>
      </c>
      <c r="M23" s="129">
        <f t="shared" si="4"/>
        <v>0.32692307692307693</v>
      </c>
      <c r="N23" s="153">
        <f t="shared" si="4"/>
        <v>3.8461538461538464E-2</v>
      </c>
      <c r="O23" s="153">
        <f t="shared" si="4"/>
        <v>0.17307692307692307</v>
      </c>
      <c r="P23" s="153">
        <f t="shared" si="4"/>
        <v>0.5</v>
      </c>
      <c r="Q23" s="153">
        <f t="shared" si="4"/>
        <v>0.19230769230769232</v>
      </c>
      <c r="R23" s="153">
        <f>$E$18</f>
        <v>3.8461538461538464E-2</v>
      </c>
      <c r="S23" s="153">
        <f t="shared" si="4"/>
        <v>0.21153846153846154</v>
      </c>
      <c r="T23" s="24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18.084</v>
      </c>
      <c r="K24" s="164">
        <f t="shared" si="4"/>
        <v>157.46643</v>
      </c>
      <c r="L24" s="165">
        <f t="shared" si="4"/>
        <v>34.554350769230773</v>
      </c>
      <c r="M24" s="166">
        <f t="shared" si="4"/>
        <v>17.899798230769232</v>
      </c>
      <c r="N24" s="164">
        <f t="shared" si="4"/>
        <v>2.8552357859531776</v>
      </c>
      <c r="O24" s="164">
        <f t="shared" si="4"/>
        <v>48.200815384615389</v>
      </c>
      <c r="P24" s="164">
        <f t="shared" si="4"/>
        <v>286.33</v>
      </c>
      <c r="Q24" s="164">
        <f t="shared" si="4"/>
        <v>48.397884615384619</v>
      </c>
      <c r="R24" s="164">
        <f>R20*R21*R22*R23</f>
        <v>4.6485153846153846</v>
      </c>
      <c r="S24" s="164">
        <f t="shared" si="4"/>
        <v>70.133461538461546</v>
      </c>
      <c r="T24" s="24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1242.5410750630153</v>
      </c>
      <c r="K25" s="155">
        <f>'Heart Disease Benefit'!$S$16</f>
        <v>1264.7556786428504</v>
      </c>
      <c r="L25" s="155">
        <f>'Stroke Benefits'!$U$18</f>
        <v>3487.8827485273468</v>
      </c>
      <c r="M25" s="155">
        <f>'Hypertension Benefit'!$S$29</f>
        <v>4090.6286200237264</v>
      </c>
      <c r="N25" s="155">
        <f>osteoporosis!$M$22</f>
        <v>3472.7206980956112</v>
      </c>
      <c r="O25" s="155">
        <f>'Type 2 Diabeties'!$Q$18</f>
        <v>3730.3402362679958</v>
      </c>
      <c r="P25" s="155">
        <f>Obesity!$N$32</f>
        <v>3529.7997763963713</v>
      </c>
      <c r="Q25" s="155">
        <f>FIGURES!$G$14</f>
        <v>1632.4774158057662</v>
      </c>
      <c r="R25" s="155">
        <f>FIGURES!$F$17</f>
        <v>21799.185582999999</v>
      </c>
      <c r="S25" s="204">
        <v>0</v>
      </c>
      <c r="T25" s="24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56" t="s">
        <v>40</v>
      </c>
      <c r="J26" s="225">
        <f t="shared" ref="J26:S26" si="5">J24*J25</f>
        <v>22470.112801439569</v>
      </c>
      <c r="K26" s="225">
        <f t="shared" si="5"/>
        <v>199156.56153811689</v>
      </c>
      <c r="L26" s="257">
        <f t="shared" si="5"/>
        <v>120521.52393456268</v>
      </c>
      <c r="M26" s="259">
        <f t="shared" si="5"/>
        <v>73221.426935434676</v>
      </c>
      <c r="N26" s="225">
        <f t="shared" si="5"/>
        <v>9915.4364118228896</v>
      </c>
      <c r="O26" s="225">
        <f t="shared" si="5"/>
        <v>179805.44105015622</v>
      </c>
      <c r="P26" s="225">
        <f t="shared" si="5"/>
        <v>1010687.569975573</v>
      </c>
      <c r="Q26" s="225">
        <f t="shared" si="5"/>
        <v>79008.453607388728</v>
      </c>
      <c r="R26" s="225">
        <f>R24*R25</f>
        <v>101333.84955466138</v>
      </c>
      <c r="S26" s="225">
        <f t="shared" si="5"/>
        <v>0</v>
      </c>
      <c r="T26" s="24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56"/>
      <c r="J27" s="226"/>
      <c r="K27" s="226"/>
      <c r="L27" s="258"/>
      <c r="M27" s="260"/>
      <c r="N27" s="226"/>
      <c r="O27" s="226"/>
      <c r="P27" s="226"/>
      <c r="Q27" s="226"/>
      <c r="R27" s="226"/>
      <c r="S27" s="226"/>
      <c r="T27" s="24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1796120.3758091561</v>
      </c>
      <c r="K28" s="155"/>
      <c r="L28" s="155"/>
      <c r="M28" s="155"/>
      <c r="N28" s="155"/>
      <c r="O28" s="155"/>
      <c r="P28" s="155"/>
      <c r="Q28" s="155"/>
      <c r="R28" s="155"/>
      <c r="S28" s="204"/>
      <c r="T28" s="24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4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4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2" si="6">J11+J26</f>
        <v>292057.60931626213</v>
      </c>
      <c r="K31" s="161">
        <f t="shared" si="6"/>
        <v>1062233.6395277055</v>
      </c>
      <c r="L31" s="161">
        <f t="shared" si="6"/>
        <v>855273.92663763138</v>
      </c>
      <c r="M31" s="161">
        <f t="shared" si="6"/>
        <v>98618.547199271125</v>
      </c>
      <c r="N31" s="161">
        <f t="shared" si="6"/>
        <v>407961.83818117657</v>
      </c>
      <c r="O31" s="161">
        <f t="shared" si="6"/>
        <v>4454499.8237905921</v>
      </c>
      <c r="P31" s="161">
        <f t="shared" si="6"/>
        <v>13240203.174561765</v>
      </c>
      <c r="Q31" s="161">
        <f t="shared" si="6"/>
        <v>2131202.6528526191</v>
      </c>
      <c r="R31" s="161">
        <f t="shared" si="6"/>
        <v>233067.85397572117</v>
      </c>
      <c r="S31" s="161">
        <f t="shared" si="6"/>
        <v>178084.93329527156</v>
      </c>
      <c r="T31" s="24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>
        <v>292057.60931626213</v>
      </c>
      <c r="K32" s="111">
        <v>1062233.6395277055</v>
      </c>
      <c r="L32" s="111">
        <v>855273.92663763138</v>
      </c>
      <c r="M32" s="111">
        <v>98618.547199271125</v>
      </c>
      <c r="N32" s="79">
        <v>407961.83818117657</v>
      </c>
      <c r="O32" s="79">
        <v>4454499.8237905921</v>
      </c>
      <c r="P32" s="79">
        <v>13240203.174561765</v>
      </c>
      <c r="Q32" s="79">
        <v>2131202.6528526191</v>
      </c>
      <c r="R32" s="79">
        <v>233067.85397572117</v>
      </c>
      <c r="S32" s="79">
        <v>178084.93329527156</v>
      </c>
      <c r="T32" s="24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4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4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89">
        <f>$J$13</f>
        <v>21157083.623528857</v>
      </c>
      <c r="K35" s="161"/>
      <c r="L35" s="161"/>
      <c r="M35" s="111"/>
      <c r="T35" s="24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0" t="s">
        <v>36</v>
      </c>
      <c r="E36" s="253" t="s">
        <v>37</v>
      </c>
      <c r="G36" s="171"/>
      <c r="H36" s="188"/>
      <c r="I36" s="145" t="s">
        <v>44</v>
      </c>
      <c r="J36" s="89">
        <f>(J35/J34)</f>
        <v>14039.206120457105</v>
      </c>
      <c r="K36" s="161"/>
      <c r="L36" s="161"/>
      <c r="M36" s="111"/>
      <c r="T36" s="24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1"/>
      <c r="E37" s="254"/>
      <c r="G37" s="171"/>
      <c r="H37" s="188"/>
      <c r="I37" s="145" t="s">
        <v>45</v>
      </c>
      <c r="J37" s="89">
        <f>$J$28</f>
        <v>1796120.3758091561</v>
      </c>
      <c r="K37" s="161"/>
      <c r="L37" s="161"/>
      <c r="M37" s="111"/>
      <c r="T37" s="24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1"/>
      <c r="E38" s="254"/>
      <c r="G38" s="171"/>
      <c r="H38" s="188"/>
      <c r="I38" s="145" t="s">
        <v>46</v>
      </c>
      <c r="J38" s="89">
        <f>(J37/J34)</f>
        <v>1191.8516096941978</v>
      </c>
      <c r="K38" s="161"/>
      <c r="L38" s="161"/>
      <c r="M38" s="111"/>
      <c r="T38" s="24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1"/>
      <c r="E39" s="254"/>
      <c r="G39" s="171"/>
      <c r="H39" s="188"/>
      <c r="I39" s="145" t="s">
        <v>47</v>
      </c>
      <c r="J39" s="89">
        <f>SUM(J35,J37)</f>
        <v>22953203.999338012</v>
      </c>
      <c r="K39" s="161"/>
      <c r="L39" s="161"/>
      <c r="M39" s="111"/>
      <c r="T39" s="24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1"/>
      <c r="E40" s="254"/>
      <c r="G40" s="171"/>
      <c r="H40" s="188"/>
      <c r="I40" s="145" t="s">
        <v>48</v>
      </c>
      <c r="J40" s="89">
        <f>J39/J34</f>
        <v>15231.057730151302</v>
      </c>
      <c r="K40" s="161"/>
      <c r="L40" s="161"/>
      <c r="M40" s="111"/>
      <c r="T40" s="24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1"/>
      <c r="E41" s="254"/>
      <c r="G41" s="171"/>
      <c r="H41" s="188"/>
      <c r="I41" s="145" t="s">
        <v>49</v>
      </c>
      <c r="J41" s="89">
        <v>1822135.8199999998</v>
      </c>
      <c r="K41" s="162"/>
      <c r="L41" s="162"/>
      <c r="M41" s="111"/>
      <c r="T41" s="24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1"/>
      <c r="E42" s="254"/>
      <c r="G42" s="171"/>
      <c r="H42" s="188"/>
      <c r="I42" s="145" t="s">
        <v>50</v>
      </c>
      <c r="J42" s="89">
        <f>J41/J34</f>
        <v>1209.1146781685466</v>
      </c>
      <c r="K42" s="162"/>
      <c r="L42" s="162"/>
      <c r="M42" s="111"/>
      <c r="T42" s="24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1"/>
      <c r="E43" s="254"/>
      <c r="G43" s="171"/>
      <c r="H43" s="188"/>
      <c r="I43" s="145" t="s">
        <v>51</v>
      </c>
      <c r="J43" s="207">
        <f>J40/J42</f>
        <v>12.596867778680744</v>
      </c>
      <c r="K43" s="163"/>
      <c r="L43" s="111"/>
      <c r="M43" s="111"/>
      <c r="T43" s="24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1"/>
      <c r="E44" s="254"/>
      <c r="G44" s="171"/>
      <c r="H44" s="188"/>
      <c r="I44" s="145"/>
      <c r="J44" s="111"/>
      <c r="K44" s="111"/>
      <c r="L44" s="111"/>
      <c r="M44" s="111"/>
      <c r="T44" s="24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1"/>
      <c r="E45" s="254"/>
      <c r="G45" s="171"/>
      <c r="H45" s="188"/>
      <c r="I45" s="145"/>
      <c r="J45" s="111"/>
      <c r="K45" s="111"/>
      <c r="L45" s="111"/>
      <c r="M45" s="111"/>
      <c r="T45" s="24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1"/>
      <c r="E46" s="254"/>
      <c r="G46" s="171"/>
      <c r="H46" s="188"/>
      <c r="I46" s="145"/>
      <c r="J46" s="111"/>
      <c r="K46" s="111"/>
      <c r="L46" s="111"/>
      <c r="M46" s="111"/>
      <c r="T46" s="24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1"/>
      <c r="E47" s="254"/>
      <c r="G47" s="171"/>
      <c r="H47" s="188"/>
      <c r="I47" s="145"/>
      <c r="J47" s="111"/>
      <c r="K47" s="111"/>
      <c r="L47" s="111"/>
      <c r="M47" s="111"/>
      <c r="T47" s="24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1"/>
      <c r="E48" s="254"/>
      <c r="G48" s="171"/>
      <c r="H48" s="188"/>
      <c r="I48" s="145"/>
      <c r="J48" s="111"/>
      <c r="K48" s="111"/>
      <c r="L48" s="111"/>
      <c r="M48" s="111"/>
      <c r="T48" s="24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1"/>
      <c r="E49" s="254"/>
      <c r="G49" s="171"/>
      <c r="H49" s="188"/>
      <c r="I49" s="145"/>
      <c r="J49" s="111"/>
      <c r="K49" s="111"/>
      <c r="L49" s="111"/>
      <c r="M49" s="111"/>
      <c r="T49" s="24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1"/>
      <c r="E50" s="254"/>
      <c r="G50" s="171"/>
      <c r="H50" s="188"/>
      <c r="I50" s="145"/>
      <c r="J50" s="111"/>
      <c r="K50" s="111"/>
      <c r="L50" s="111"/>
      <c r="M50" s="111"/>
      <c r="T50" s="24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1"/>
      <c r="E51" s="254"/>
      <c r="G51" s="171"/>
      <c r="H51" s="188"/>
      <c r="I51" s="145"/>
      <c r="J51" s="111"/>
      <c r="K51" s="111"/>
      <c r="L51" s="111"/>
      <c r="M51" s="111"/>
      <c r="T51" s="24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2"/>
      <c r="E52" s="255"/>
      <c r="G52" s="171"/>
      <c r="H52" s="188"/>
      <c r="I52" s="145"/>
      <c r="J52" s="111"/>
      <c r="K52" s="111"/>
      <c r="L52" s="111"/>
      <c r="M52" s="111"/>
      <c r="T52" s="24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4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4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4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4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4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4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4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4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4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4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4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4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4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4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4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4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4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4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4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R26:R27"/>
    <mergeCell ref="M26:M27"/>
    <mergeCell ref="N26:N27"/>
    <mergeCell ref="O26:O27"/>
    <mergeCell ref="P26:P27"/>
    <mergeCell ref="Q26:Q27"/>
    <mergeCell ref="E36:E52"/>
    <mergeCell ref="I26:I27"/>
    <mergeCell ref="J26:J27"/>
    <mergeCell ref="K26:K27"/>
    <mergeCell ref="L26:L27"/>
    <mergeCell ref="T1:T1048576"/>
    <mergeCell ref="A3:E3"/>
    <mergeCell ref="A9:E11"/>
    <mergeCell ref="J11:J12"/>
    <mergeCell ref="K11:K12"/>
    <mergeCell ref="L11:L12"/>
    <mergeCell ref="M11:M12"/>
    <mergeCell ref="N11:N12"/>
    <mergeCell ref="O11:O12"/>
    <mergeCell ref="P11:P12"/>
    <mergeCell ref="Q11:Q12"/>
    <mergeCell ref="S26:S27"/>
    <mergeCell ref="A16:E16"/>
    <mergeCell ref="I16:I19"/>
    <mergeCell ref="J16:S18"/>
    <mergeCell ref="D36:D52"/>
    <mergeCell ref="R11:R12"/>
    <mergeCell ref="S11:S12"/>
    <mergeCell ref="A1:E2"/>
    <mergeCell ref="I1:I4"/>
    <mergeCell ref="J1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AK71"/>
  <sheetViews>
    <sheetView zoomScale="85" zoomScaleNormal="85" zoomScaleSheetLayoutView="110" workbookViewId="0">
      <selection activeCell="S42" sqref="S42"/>
    </sheetView>
  </sheetViews>
  <sheetFormatPr defaultRowHeight="15"/>
  <cols>
    <col min="1" max="1" width="17.28515625" bestFit="1" customWidth="1"/>
    <col min="2" max="3" width="17.28515625" customWidth="1"/>
    <col min="4" max="4" width="18.7109375" style="2" customWidth="1"/>
    <col min="5" max="5" width="18.7109375" style="98" customWidth="1"/>
    <col min="6" max="6" width="4.5703125" style="107" customWidth="1"/>
    <col min="7" max="7" width="17.140625" bestFit="1" customWidth="1"/>
    <col min="8" max="8" width="12.28515625" customWidth="1"/>
    <col min="9" max="9" width="10.28515625" customWidth="1"/>
    <col min="10" max="10" width="20" customWidth="1"/>
    <col min="11" max="11" width="19" customWidth="1"/>
    <col min="12" max="12" width="4.28515625" style="171" customWidth="1"/>
    <col min="13" max="13" width="15.28515625" style="170" customWidth="1"/>
    <col min="14" max="14" width="16.28515625" style="170" customWidth="1"/>
    <col min="15" max="16" width="17.140625" style="111" bestFit="1" customWidth="1"/>
    <col min="17" max="17" width="45.5703125" style="118" customWidth="1"/>
    <col min="18" max="19" width="16.140625" style="115" bestFit="1" customWidth="1"/>
    <col min="20" max="20" width="14.28515625" style="115" customWidth="1"/>
    <col min="21" max="21" width="13.28515625" style="117" bestFit="1" customWidth="1"/>
    <col min="22" max="22" width="16.28515625" bestFit="1" customWidth="1"/>
    <col min="23" max="23" width="15" bestFit="1" customWidth="1"/>
    <col min="24" max="24" width="14.28515625" bestFit="1" customWidth="1"/>
    <col min="25" max="25" width="15" bestFit="1" customWidth="1"/>
    <col min="26" max="26" width="14.28515625" bestFit="1" customWidth="1"/>
    <col min="27" max="27" width="4.28515625" style="240" customWidth="1"/>
    <col min="28" max="28" width="46" customWidth="1"/>
    <col min="29" max="29" width="16.140625" bestFit="1" customWidth="1"/>
    <col min="30" max="31" width="12.140625" bestFit="1" customWidth="1"/>
    <col min="32" max="32" width="12.85546875" bestFit="1" customWidth="1"/>
    <col min="33" max="33" width="14.28515625" bestFit="1" customWidth="1"/>
    <col min="34" max="34" width="15" bestFit="1" customWidth="1"/>
    <col min="35" max="35" width="14.28515625" bestFit="1" customWidth="1"/>
    <col min="36" max="36" width="17.42578125" customWidth="1"/>
    <col min="37" max="37" width="14.28515625" bestFit="1" customWidth="1"/>
  </cols>
  <sheetData>
    <row r="1" spans="1:37" s="146" customFormat="1">
      <c r="A1" s="227" t="s">
        <v>0</v>
      </c>
      <c r="B1" s="227"/>
      <c r="C1" s="227"/>
      <c r="D1" s="227"/>
      <c r="E1" s="227"/>
      <c r="G1" s="227" t="s">
        <v>1</v>
      </c>
      <c r="H1" s="227"/>
      <c r="I1" s="227"/>
      <c r="J1" s="227"/>
      <c r="K1" s="227"/>
      <c r="L1" s="171"/>
      <c r="M1" s="261" t="s">
        <v>2</v>
      </c>
      <c r="N1" s="261"/>
      <c r="O1" s="229"/>
      <c r="P1" s="229"/>
      <c r="Q1" s="264"/>
      <c r="R1" s="231" t="s">
        <v>3</v>
      </c>
      <c r="S1" s="232"/>
      <c r="T1" s="232"/>
      <c r="U1" s="232"/>
      <c r="V1" s="232"/>
      <c r="W1" s="232"/>
      <c r="X1" s="232"/>
      <c r="Y1" s="232"/>
      <c r="Z1" s="233"/>
      <c r="AA1" s="240"/>
      <c r="AB1" s="278"/>
      <c r="AC1" s="267" t="s">
        <v>4</v>
      </c>
      <c r="AD1" s="268"/>
      <c r="AE1" s="268"/>
      <c r="AF1" s="268"/>
      <c r="AG1" s="268"/>
      <c r="AH1" s="268"/>
      <c r="AI1" s="268"/>
      <c r="AJ1" s="268"/>
      <c r="AK1" s="269"/>
    </row>
    <row r="2" spans="1:37" s="146" customFormat="1">
      <c r="A2" s="227"/>
      <c r="B2" s="227"/>
      <c r="C2" s="227"/>
      <c r="D2" s="227"/>
      <c r="E2" s="227"/>
      <c r="G2" s="227"/>
      <c r="H2" s="227"/>
      <c r="I2" s="227"/>
      <c r="J2" s="227"/>
      <c r="K2" s="227"/>
      <c r="L2" s="171"/>
      <c r="M2" s="261"/>
      <c r="N2" s="261"/>
      <c r="O2" s="229"/>
      <c r="P2" s="229"/>
      <c r="Q2" s="265"/>
      <c r="R2" s="234"/>
      <c r="S2" s="235"/>
      <c r="T2" s="235"/>
      <c r="U2" s="235"/>
      <c r="V2" s="235"/>
      <c r="W2" s="235"/>
      <c r="X2" s="235"/>
      <c r="Y2" s="235"/>
      <c r="Z2" s="236"/>
      <c r="AA2" s="240"/>
      <c r="AB2" s="279"/>
      <c r="AC2" s="270"/>
      <c r="AD2" s="271"/>
      <c r="AE2" s="271"/>
      <c r="AF2" s="271"/>
      <c r="AG2" s="271"/>
      <c r="AH2" s="271"/>
      <c r="AI2" s="271"/>
      <c r="AJ2" s="271"/>
      <c r="AK2" s="272"/>
    </row>
    <row r="3" spans="1:37" s="79" customFormat="1" ht="26.25" customHeight="1">
      <c r="A3" s="241" t="s">
        <v>5</v>
      </c>
      <c r="B3" s="241"/>
      <c r="C3" s="241"/>
      <c r="D3" s="241"/>
      <c r="E3" s="241"/>
      <c r="G3" s="241" t="s">
        <v>5</v>
      </c>
      <c r="H3" s="241"/>
      <c r="I3" s="241"/>
      <c r="J3" s="241"/>
      <c r="K3" s="241"/>
      <c r="L3" s="171"/>
      <c r="M3" s="172"/>
      <c r="N3" s="172"/>
      <c r="O3" s="229"/>
      <c r="P3" s="229"/>
      <c r="Q3" s="265"/>
      <c r="R3" s="237"/>
      <c r="S3" s="238"/>
      <c r="T3" s="238"/>
      <c r="U3" s="238"/>
      <c r="V3" s="238"/>
      <c r="W3" s="238"/>
      <c r="X3" s="238"/>
      <c r="Y3" s="238"/>
      <c r="Z3" s="239"/>
      <c r="AA3" s="240"/>
      <c r="AB3" s="279"/>
      <c r="AC3" s="273"/>
      <c r="AD3" s="274"/>
      <c r="AE3" s="274"/>
      <c r="AF3" s="274"/>
      <c r="AG3" s="274"/>
      <c r="AH3" s="274"/>
      <c r="AI3" s="274"/>
      <c r="AJ3" s="274"/>
      <c r="AK3" s="275"/>
    </row>
    <row r="4" spans="1:37" ht="75">
      <c r="A4" s="52" t="s">
        <v>6</v>
      </c>
      <c r="B4" s="52" t="s">
        <v>7</v>
      </c>
      <c r="C4" s="52" t="s">
        <v>8</v>
      </c>
      <c r="D4" s="130" t="s">
        <v>9</v>
      </c>
      <c r="E4" s="131" t="s">
        <v>10</v>
      </c>
      <c r="G4" s="52" t="s">
        <v>6</v>
      </c>
      <c r="H4" s="52" t="s">
        <v>7</v>
      </c>
      <c r="I4" s="52" t="s">
        <v>8</v>
      </c>
      <c r="J4" s="130" t="s">
        <v>9</v>
      </c>
      <c r="K4" s="131" t="s">
        <v>10</v>
      </c>
      <c r="M4" s="172" t="s">
        <v>11</v>
      </c>
      <c r="N4" s="172"/>
      <c r="O4" s="229"/>
      <c r="P4" s="229"/>
      <c r="Q4" s="266"/>
      <c r="R4" s="120" t="s">
        <v>12</v>
      </c>
      <c r="S4" s="121" t="s">
        <v>13</v>
      </c>
      <c r="T4" s="122" t="s">
        <v>14</v>
      </c>
      <c r="U4" s="120" t="s">
        <v>15</v>
      </c>
      <c r="V4" s="120" t="s">
        <v>16</v>
      </c>
      <c r="W4" s="120" t="s">
        <v>17</v>
      </c>
      <c r="X4" s="120" t="s">
        <v>18</v>
      </c>
      <c r="Y4" s="120" t="s">
        <v>19</v>
      </c>
      <c r="Z4" s="120" t="s">
        <v>20</v>
      </c>
      <c r="AB4" s="280"/>
      <c r="AC4" s="120" t="s">
        <v>12</v>
      </c>
      <c r="AD4" s="121" t="s">
        <v>13</v>
      </c>
      <c r="AE4" s="122" t="s">
        <v>14</v>
      </c>
      <c r="AF4" s="120" t="s">
        <v>15</v>
      </c>
      <c r="AG4" s="120" t="s">
        <v>16</v>
      </c>
      <c r="AH4" s="120" t="s">
        <v>17</v>
      </c>
      <c r="AI4" s="120" t="s">
        <v>18</v>
      </c>
      <c r="AJ4" s="120" t="s">
        <v>19</v>
      </c>
      <c r="AK4" s="120" t="s">
        <v>20</v>
      </c>
    </row>
    <row r="5" spans="1:37">
      <c r="A5" s="48" t="s">
        <v>21</v>
      </c>
      <c r="B5" s="48">
        <v>1</v>
      </c>
      <c r="C5" s="48">
        <v>3</v>
      </c>
      <c r="D5" s="176">
        <v>2</v>
      </c>
      <c r="E5" s="129">
        <f>(D5/18)</f>
        <v>0.1111111111111111</v>
      </c>
      <c r="G5" s="48" t="s">
        <v>21</v>
      </c>
      <c r="H5" s="48">
        <v>1</v>
      </c>
      <c r="I5" s="48">
        <v>1</v>
      </c>
      <c r="J5" s="176">
        <v>1</v>
      </c>
      <c r="K5" s="129">
        <f>(J5/22)</f>
        <v>4.5454545454545456E-2</v>
      </c>
      <c r="M5" s="172">
        <v>3</v>
      </c>
      <c r="N5" s="172"/>
      <c r="O5" s="112"/>
      <c r="P5" s="112"/>
      <c r="Q5" s="123" t="s">
        <v>22</v>
      </c>
      <c r="R5" s="124">
        <v>782</v>
      </c>
      <c r="S5" s="125">
        <v>782</v>
      </c>
      <c r="T5" s="126">
        <v>782</v>
      </c>
      <c r="U5" s="152">
        <v>782</v>
      </c>
      <c r="V5" s="176">
        <v>782</v>
      </c>
      <c r="W5" s="176">
        <v>782</v>
      </c>
      <c r="X5" s="176">
        <v>782</v>
      </c>
      <c r="Y5" s="176">
        <v>782</v>
      </c>
      <c r="Z5" s="176">
        <v>782</v>
      </c>
      <c r="AB5" s="123" t="s">
        <v>22</v>
      </c>
      <c r="AC5" s="156">
        <v>725</v>
      </c>
      <c r="AD5" s="156">
        <v>725</v>
      </c>
      <c r="AE5" s="156">
        <v>725</v>
      </c>
      <c r="AF5" s="156">
        <v>725</v>
      </c>
      <c r="AG5" s="156">
        <v>725</v>
      </c>
      <c r="AH5" s="156">
        <v>725</v>
      </c>
      <c r="AI5" s="156">
        <v>725</v>
      </c>
      <c r="AJ5" s="156">
        <v>725</v>
      </c>
      <c r="AK5" s="156">
        <v>725</v>
      </c>
    </row>
    <row r="6" spans="1:37">
      <c r="A6" s="48" t="s">
        <v>23</v>
      </c>
      <c r="B6" s="48">
        <v>1</v>
      </c>
      <c r="C6" s="48">
        <v>3</v>
      </c>
      <c r="D6" s="176">
        <v>2</v>
      </c>
      <c r="E6" s="129">
        <f>(D6/18)</f>
        <v>0.1111111111111111</v>
      </c>
      <c r="G6" s="48" t="s">
        <v>23</v>
      </c>
      <c r="H6" s="48">
        <v>0</v>
      </c>
      <c r="I6" s="48">
        <v>1</v>
      </c>
      <c r="J6" s="176">
        <v>1</v>
      </c>
      <c r="K6" s="129">
        <f>(J6/22)</f>
        <v>4.5454545454545456E-2</v>
      </c>
      <c r="M6" s="172">
        <v>3</v>
      </c>
      <c r="N6" s="172"/>
      <c r="O6" s="112"/>
      <c r="P6" s="112"/>
      <c r="Q6" s="123" t="s">
        <v>24</v>
      </c>
      <c r="R6" s="127">
        <v>0.08</v>
      </c>
      <c r="S6" s="127">
        <v>0.25800000000000001</v>
      </c>
      <c r="T6" s="127">
        <v>8.1000000000000003E-2</v>
      </c>
      <c r="U6" s="127">
        <v>0.29299999999999998</v>
      </c>
      <c r="V6" s="127">
        <v>0.10299999999999999</v>
      </c>
      <c r="W6" s="127">
        <v>0.28000000000000003</v>
      </c>
      <c r="X6" s="127">
        <v>0.38</v>
      </c>
      <c r="Y6" s="127">
        <v>0.16700000000000001</v>
      </c>
      <c r="Z6" s="127">
        <v>1</v>
      </c>
      <c r="AB6" s="123" t="s">
        <v>24</v>
      </c>
      <c r="AC6" s="157">
        <f t="shared" ref="AC6:AK7" si="0">R6</f>
        <v>0.08</v>
      </c>
      <c r="AD6" s="157">
        <f t="shared" si="0"/>
        <v>0.25800000000000001</v>
      </c>
      <c r="AE6" s="157">
        <f t="shared" si="0"/>
        <v>8.1000000000000003E-2</v>
      </c>
      <c r="AF6" s="157">
        <f t="shared" si="0"/>
        <v>0.29299999999999998</v>
      </c>
      <c r="AG6" s="157">
        <f t="shared" si="0"/>
        <v>0.10299999999999999</v>
      </c>
      <c r="AH6" s="157">
        <f t="shared" si="0"/>
        <v>0.28000000000000003</v>
      </c>
      <c r="AI6" s="157">
        <f t="shared" si="0"/>
        <v>0.38</v>
      </c>
      <c r="AJ6" s="157">
        <f t="shared" si="0"/>
        <v>0.16700000000000001</v>
      </c>
      <c r="AK6" s="157">
        <f t="shared" si="0"/>
        <v>1</v>
      </c>
    </row>
    <row r="7" spans="1:37">
      <c r="A7" s="48" t="s">
        <v>25</v>
      </c>
      <c r="B7" s="48">
        <v>0</v>
      </c>
      <c r="C7" s="48">
        <v>4</v>
      </c>
      <c r="D7" s="176">
        <v>4</v>
      </c>
      <c r="E7" s="129">
        <f>(D7/18)</f>
        <v>0.22222222222222221</v>
      </c>
      <c r="G7" s="48" t="s">
        <v>25</v>
      </c>
      <c r="H7" s="48">
        <v>1</v>
      </c>
      <c r="I7" s="48">
        <v>1</v>
      </c>
      <c r="J7" s="176">
        <v>1</v>
      </c>
      <c r="K7" s="129">
        <f>(J7/22)</f>
        <v>4.5454545454545456E-2</v>
      </c>
      <c r="M7" s="172">
        <v>5</v>
      </c>
      <c r="N7" s="172"/>
      <c r="O7" s="112"/>
      <c r="P7" s="112"/>
      <c r="Q7" s="123" t="s">
        <v>26</v>
      </c>
      <c r="R7" s="128">
        <v>0.8</v>
      </c>
      <c r="S7" s="128">
        <v>0.5</v>
      </c>
      <c r="T7" s="128">
        <v>0.49</v>
      </c>
      <c r="U7" s="128">
        <v>0.45</v>
      </c>
      <c r="V7" s="128">
        <v>0.15</v>
      </c>
      <c r="W7" s="128">
        <v>0.45</v>
      </c>
      <c r="X7" s="128">
        <v>0.5</v>
      </c>
      <c r="Y7" s="128">
        <v>1</v>
      </c>
      <c r="Z7" s="128">
        <v>0.22</v>
      </c>
      <c r="AB7" s="123" t="s">
        <v>26</v>
      </c>
      <c r="AC7" s="157">
        <f t="shared" si="0"/>
        <v>0.8</v>
      </c>
      <c r="AD7" s="157">
        <f t="shared" si="0"/>
        <v>0.5</v>
      </c>
      <c r="AE7" s="157">
        <f t="shared" si="0"/>
        <v>0.49</v>
      </c>
      <c r="AF7" s="157">
        <f t="shared" si="0"/>
        <v>0.45</v>
      </c>
      <c r="AG7" s="157">
        <f t="shared" si="0"/>
        <v>0.15</v>
      </c>
      <c r="AH7" s="157">
        <f t="shared" si="0"/>
        <v>0.45</v>
      </c>
      <c r="AI7" s="157">
        <f t="shared" si="0"/>
        <v>0.5</v>
      </c>
      <c r="AJ7" s="157">
        <f t="shared" si="0"/>
        <v>1</v>
      </c>
      <c r="AK7" s="157">
        <f t="shared" si="0"/>
        <v>0.22</v>
      </c>
    </row>
    <row r="8" spans="1:37" ht="30">
      <c r="A8" s="48" t="s">
        <v>15</v>
      </c>
      <c r="B8" s="48">
        <v>0</v>
      </c>
      <c r="C8" s="48">
        <v>4</v>
      </c>
      <c r="D8" s="176">
        <v>4</v>
      </c>
      <c r="E8" s="129">
        <f>(D8/18)</f>
        <v>0.22222222222222221</v>
      </c>
      <c r="G8" s="48" t="s">
        <v>15</v>
      </c>
      <c r="H8" s="48">
        <v>1</v>
      </c>
      <c r="I8" s="48">
        <v>1</v>
      </c>
      <c r="J8" s="176">
        <v>1</v>
      </c>
      <c r="K8" s="129">
        <f>(J8/22)</f>
        <v>4.5454545454545456E-2</v>
      </c>
      <c r="M8" s="172">
        <v>5</v>
      </c>
      <c r="N8" s="172"/>
      <c r="O8" s="112"/>
      <c r="P8" s="112"/>
      <c r="Q8" s="123" t="s">
        <v>27</v>
      </c>
      <c r="R8" s="129">
        <f>E5</f>
        <v>0.1111111111111111</v>
      </c>
      <c r="S8" s="129">
        <f>E6</f>
        <v>0.1111111111111111</v>
      </c>
      <c r="T8" s="129">
        <f>E7</f>
        <v>0.22222222222222221</v>
      </c>
      <c r="U8" s="129">
        <f>E8</f>
        <v>0.22222222222222221</v>
      </c>
      <c r="V8" s="153"/>
      <c r="W8" s="153">
        <f>E13</f>
        <v>0.1111111111111111</v>
      </c>
      <c r="X8" s="153">
        <f>E14</f>
        <v>5.5555555555555552E-2</v>
      </c>
      <c r="Y8" s="153">
        <f>E15</f>
        <v>0.1111111111111111</v>
      </c>
      <c r="Z8" s="153">
        <f>E17</f>
        <v>0.27777777777777779</v>
      </c>
      <c r="AB8" s="123" t="s">
        <v>27</v>
      </c>
      <c r="AC8" s="158">
        <f>K5</f>
        <v>4.5454545454545456E-2</v>
      </c>
      <c r="AD8" s="158">
        <f>K6</f>
        <v>4.5454545454545456E-2</v>
      </c>
      <c r="AE8" s="158">
        <f>K7</f>
        <v>4.5454545454545456E-2</v>
      </c>
      <c r="AF8" s="158">
        <f>K8</f>
        <v>4.5454545454545456E-2</v>
      </c>
      <c r="AG8" s="158">
        <f>K12</f>
        <v>9.0909090909090912E-2</v>
      </c>
      <c r="AH8" s="158">
        <f>K13</f>
        <v>0.13636363636363635</v>
      </c>
      <c r="AI8" s="158">
        <f>K14</f>
        <v>4.5454545454545456E-2</v>
      </c>
      <c r="AJ8" s="158">
        <v>0.1111</v>
      </c>
      <c r="AK8" s="158">
        <f>K17</f>
        <v>0.27272727272727271</v>
      </c>
    </row>
    <row r="9" spans="1:37" ht="30">
      <c r="A9" s="242" t="s">
        <v>28</v>
      </c>
      <c r="B9" s="242"/>
      <c r="C9" s="242"/>
      <c r="D9" s="242"/>
      <c r="E9" s="242"/>
      <c r="G9" s="242" t="s">
        <v>28</v>
      </c>
      <c r="H9" s="242"/>
      <c r="I9" s="242"/>
      <c r="J9" s="242"/>
      <c r="K9" s="242"/>
      <c r="M9" s="172"/>
      <c r="N9" s="172"/>
      <c r="Q9" s="123" t="s">
        <v>29</v>
      </c>
      <c r="R9" s="164">
        <f t="shared" ref="R9:Z9" si="1">R5*R6*R7*R8</f>
        <v>5.560888888888889</v>
      </c>
      <c r="S9" s="164">
        <f t="shared" si="1"/>
        <v>11.208666666666666</v>
      </c>
      <c r="T9" s="165">
        <f t="shared" si="1"/>
        <v>6.8972399999999991</v>
      </c>
      <c r="U9" s="166">
        <f t="shared" si="1"/>
        <v>22.912599999999998</v>
      </c>
      <c r="V9" s="164">
        <f t="shared" si="1"/>
        <v>0</v>
      </c>
      <c r="W9" s="164">
        <f t="shared" si="1"/>
        <v>10.948</v>
      </c>
      <c r="X9" s="164">
        <f t="shared" si="1"/>
        <v>8.2544444444444451</v>
      </c>
      <c r="Y9" s="164">
        <f t="shared" si="1"/>
        <v>14.510444444444444</v>
      </c>
      <c r="Z9" s="164">
        <f t="shared" si="1"/>
        <v>47.788888888888891</v>
      </c>
      <c r="AB9" s="123" t="s">
        <v>29</v>
      </c>
      <c r="AC9" s="167">
        <f t="shared" ref="AC9:AK9" si="2">AC5*AC6*AC7*AC8</f>
        <v>2.1090909090909093</v>
      </c>
      <c r="AD9" s="167">
        <f t="shared" si="2"/>
        <v>4.2511363636363644</v>
      </c>
      <c r="AE9" s="168">
        <f t="shared" si="2"/>
        <v>1.307965909090909</v>
      </c>
      <c r="AF9" s="169">
        <f t="shared" si="2"/>
        <v>4.3450568181818179</v>
      </c>
      <c r="AG9" s="167">
        <f t="shared" si="2"/>
        <v>1.0182954545454546</v>
      </c>
      <c r="AH9" s="167">
        <f t="shared" si="2"/>
        <v>12.456818181818182</v>
      </c>
      <c r="AI9" s="167">
        <f t="shared" si="2"/>
        <v>6.2613636363636367</v>
      </c>
      <c r="AJ9" s="167">
        <f t="shared" si="2"/>
        <v>13.451432500000001</v>
      </c>
      <c r="AK9" s="167">
        <f t="shared" si="2"/>
        <v>43.5</v>
      </c>
    </row>
    <row r="10" spans="1:37">
      <c r="A10" s="242"/>
      <c r="B10" s="242"/>
      <c r="C10" s="242"/>
      <c r="D10" s="242"/>
      <c r="E10" s="242"/>
      <c r="G10" s="242"/>
      <c r="H10" s="242"/>
      <c r="I10" s="242"/>
      <c r="J10" s="242"/>
      <c r="K10" s="242"/>
      <c r="M10" s="172"/>
      <c r="N10" s="172"/>
      <c r="Q10" s="123" t="s">
        <v>30</v>
      </c>
      <c r="R10" s="154">
        <f>'Colorectal Benefit'!$F$16</f>
        <v>14907.514737603546</v>
      </c>
      <c r="S10" s="154">
        <f>'Heart Disease Benefit'!$G$16</f>
        <v>5481.0227042652114</v>
      </c>
      <c r="T10" s="154">
        <f>'Stroke Benefits'!$G$18</f>
        <v>21263.67263011451</v>
      </c>
      <c r="U10" s="154">
        <f>'Hypertension Benefit'!$G$29</f>
        <v>1418.8495275985588</v>
      </c>
      <c r="V10" s="154">
        <f>osteoporosis!$C$35</f>
        <v>139409.29282534606</v>
      </c>
      <c r="W10" s="154">
        <f>'Type 2 Diabeties'!$C$31</f>
        <v>88685.105192324641</v>
      </c>
      <c r="X10" s="154">
        <f>Obesity!$C$45</f>
        <v>42711.261846771878</v>
      </c>
      <c r="Y10" s="154">
        <f>'Foodborne illness'!$C$47</f>
        <v>42402.559854710737</v>
      </c>
      <c r="Z10" s="154">
        <f>'Data &amp; PV'!$G$12</f>
        <v>2539.229198</v>
      </c>
      <c r="AB10" s="123" t="s">
        <v>30</v>
      </c>
      <c r="AC10" s="159">
        <f t="shared" ref="AC10:AK10" si="3">R10</f>
        <v>14907.514737603546</v>
      </c>
      <c r="AD10" s="159">
        <f t="shared" si="3"/>
        <v>5481.0227042652114</v>
      </c>
      <c r="AE10" s="159">
        <f t="shared" si="3"/>
        <v>21263.67263011451</v>
      </c>
      <c r="AF10" s="159">
        <f t="shared" si="3"/>
        <v>1418.8495275985588</v>
      </c>
      <c r="AG10" s="159">
        <f t="shared" si="3"/>
        <v>139409.29282534606</v>
      </c>
      <c r="AH10" s="159">
        <f t="shared" si="3"/>
        <v>88685.105192324641</v>
      </c>
      <c r="AI10" s="159">
        <f t="shared" si="3"/>
        <v>42711.261846771878</v>
      </c>
      <c r="AJ10" s="159">
        <f t="shared" si="3"/>
        <v>42402.559854710737</v>
      </c>
      <c r="AK10" s="159">
        <f t="shared" si="3"/>
        <v>2539.229198</v>
      </c>
    </row>
    <row r="11" spans="1:37">
      <c r="A11" s="242"/>
      <c r="B11" s="242"/>
      <c r="C11" s="242"/>
      <c r="D11" s="242"/>
      <c r="E11" s="242"/>
      <c r="G11" s="242"/>
      <c r="H11" s="242"/>
      <c r="I11" s="242"/>
      <c r="J11" s="242"/>
      <c r="K11" s="242"/>
      <c r="M11" s="172"/>
      <c r="N11" s="172"/>
      <c r="Q11" s="282" t="s">
        <v>31</v>
      </c>
      <c r="R11" s="243">
        <f t="shared" ref="R11:Z11" si="4">R9*R10</f>
        <v>82899.033065286916</v>
      </c>
      <c r="S11" s="243">
        <f t="shared" si="4"/>
        <v>61434.956484540664</v>
      </c>
      <c r="T11" s="245">
        <f t="shared" si="4"/>
        <v>146660.65341133098</v>
      </c>
      <c r="U11" s="247">
        <f t="shared" si="4"/>
        <v>32509.531686054735</v>
      </c>
      <c r="V11" s="243">
        <f t="shared" si="4"/>
        <v>0</v>
      </c>
      <c r="W11" s="243">
        <f t="shared" si="4"/>
        <v>970924.53164557018</v>
      </c>
      <c r="X11" s="243">
        <f t="shared" si="4"/>
        <v>352557.73806629813</v>
      </c>
      <c r="Y11" s="243">
        <f t="shared" si="4"/>
        <v>615279.9890740104</v>
      </c>
      <c r="Z11" s="243">
        <f t="shared" si="4"/>
        <v>121346.94200664444</v>
      </c>
      <c r="AB11" s="281" t="s">
        <v>31</v>
      </c>
      <c r="AC11" s="276">
        <f t="shared" ref="AC11:AK11" si="5">AC9*AC10</f>
        <v>31441.303810218393</v>
      </c>
      <c r="AD11" s="276">
        <f t="shared" si="5"/>
        <v>23300.574928018363</v>
      </c>
      <c r="AE11" s="276">
        <f t="shared" si="5"/>
        <v>27812.158902259205</v>
      </c>
      <c r="AF11" s="276">
        <f t="shared" si="5"/>
        <v>6164.9818138661694</v>
      </c>
      <c r="AG11" s="276">
        <f t="shared" si="5"/>
        <v>141959.84920544614</v>
      </c>
      <c r="AH11" s="276">
        <f t="shared" si="5"/>
        <v>1104734.2308162076</v>
      </c>
      <c r="AI11" s="276">
        <f t="shared" si="5"/>
        <v>267430.74179058301</v>
      </c>
      <c r="AJ11" s="276">
        <f t="shared" si="5"/>
        <v>570375.17171285127</v>
      </c>
      <c r="AK11" s="276">
        <f t="shared" si="5"/>
        <v>110456.470113</v>
      </c>
    </row>
    <row r="12" spans="1:37">
      <c r="A12" s="48" t="s">
        <v>16</v>
      </c>
      <c r="B12" s="48">
        <v>2</v>
      </c>
      <c r="C12" s="48">
        <v>0</v>
      </c>
      <c r="D12" s="176">
        <v>0</v>
      </c>
      <c r="E12" s="129">
        <f>(D12/18)</f>
        <v>0</v>
      </c>
      <c r="G12" s="48" t="s">
        <v>16</v>
      </c>
      <c r="H12" s="48">
        <v>1</v>
      </c>
      <c r="I12" s="48">
        <v>2</v>
      </c>
      <c r="J12" s="176">
        <v>2</v>
      </c>
      <c r="K12" s="129">
        <f>(J12/22)</f>
        <v>9.0909090909090912E-2</v>
      </c>
      <c r="M12" s="172">
        <v>2</v>
      </c>
      <c r="N12" s="172"/>
      <c r="O12" s="112"/>
      <c r="P12" s="112"/>
      <c r="Q12" s="282"/>
      <c r="R12" s="244"/>
      <c r="S12" s="244"/>
      <c r="T12" s="246"/>
      <c r="U12" s="248"/>
      <c r="V12" s="242"/>
      <c r="W12" s="242"/>
      <c r="X12" s="242"/>
      <c r="Y12" s="242"/>
      <c r="Z12" s="242"/>
      <c r="AB12" s="281"/>
      <c r="AC12" s="277"/>
      <c r="AD12" s="277"/>
      <c r="AE12" s="277"/>
      <c r="AF12" s="277"/>
      <c r="AG12" s="277"/>
      <c r="AH12" s="277"/>
      <c r="AI12" s="277"/>
      <c r="AJ12" s="277"/>
      <c r="AK12" s="277"/>
    </row>
    <row r="13" spans="1:37" s="135" customFormat="1">
      <c r="A13" s="48" t="s">
        <v>32</v>
      </c>
      <c r="B13" s="48">
        <v>2</v>
      </c>
      <c r="C13" s="48">
        <v>2</v>
      </c>
      <c r="D13" s="132">
        <v>2</v>
      </c>
      <c r="E13" s="133">
        <f>(D13/18)</f>
        <v>0.1111111111111111</v>
      </c>
      <c r="F13" s="134"/>
      <c r="G13" s="48" t="s">
        <v>32</v>
      </c>
      <c r="H13" s="48">
        <v>0</v>
      </c>
      <c r="I13" s="48">
        <v>3</v>
      </c>
      <c r="J13" s="132">
        <v>3</v>
      </c>
      <c r="K13" s="133">
        <f>(J13/22)</f>
        <v>0.13636363636363635</v>
      </c>
      <c r="L13" s="171"/>
      <c r="M13" s="172">
        <v>5</v>
      </c>
      <c r="N13" s="172"/>
      <c r="O13" s="112"/>
      <c r="P13" s="112"/>
      <c r="Q13" s="136" t="s">
        <v>33</v>
      </c>
      <c r="R13" s="155">
        <f>SUM(R11:Z12)</f>
        <v>2383613.3754397365</v>
      </c>
      <c r="S13" s="155"/>
      <c r="T13" s="155"/>
      <c r="U13" s="155"/>
      <c r="V13" s="155"/>
      <c r="W13" s="155"/>
      <c r="X13" s="155"/>
      <c r="Y13" s="155"/>
      <c r="Z13" s="174"/>
      <c r="AA13" s="240"/>
      <c r="AB13" s="119" t="s">
        <v>33</v>
      </c>
      <c r="AC13" s="160">
        <f>SUM(AC11:AK12)</f>
        <v>2283675.4830924501</v>
      </c>
      <c r="AD13" s="160"/>
      <c r="AE13" s="160"/>
      <c r="AF13" s="160"/>
      <c r="AG13" s="160"/>
      <c r="AH13" s="160"/>
      <c r="AI13" s="160"/>
      <c r="AJ13" s="160"/>
      <c r="AK13" s="160"/>
    </row>
    <row r="14" spans="1:37">
      <c r="A14" s="48" t="s">
        <v>18</v>
      </c>
      <c r="B14" s="48">
        <v>1</v>
      </c>
      <c r="C14" s="48">
        <v>1</v>
      </c>
      <c r="D14" s="176">
        <v>1</v>
      </c>
      <c r="E14" s="129">
        <f>(D14/18)</f>
        <v>5.5555555555555552E-2</v>
      </c>
      <c r="G14" s="48" t="s">
        <v>18</v>
      </c>
      <c r="H14" s="48">
        <v>0</v>
      </c>
      <c r="I14" s="48">
        <v>1</v>
      </c>
      <c r="J14" s="176">
        <v>1</v>
      </c>
      <c r="K14" s="129">
        <f>(J14/22)</f>
        <v>4.5454545454545456E-2</v>
      </c>
      <c r="M14" s="172">
        <v>2</v>
      </c>
      <c r="N14" s="172"/>
      <c r="O14" s="112"/>
      <c r="P14" s="112"/>
      <c r="Q14" s="116"/>
      <c r="R14" s="112"/>
      <c r="S14" s="113"/>
      <c r="T14" s="114"/>
      <c r="U14" s="111"/>
    </row>
    <row r="15" spans="1:37">
      <c r="A15" s="48" t="s">
        <v>34</v>
      </c>
      <c r="B15" s="48">
        <v>4</v>
      </c>
      <c r="C15" s="48">
        <v>4</v>
      </c>
      <c r="D15" s="176">
        <v>2</v>
      </c>
      <c r="E15" s="129">
        <f>(D15/18)</f>
        <v>0.1111111111111111</v>
      </c>
      <c r="G15" s="48" t="s">
        <v>34</v>
      </c>
      <c r="H15" s="48">
        <v>7</v>
      </c>
      <c r="I15" s="48">
        <v>4</v>
      </c>
      <c r="J15" s="176">
        <v>8</v>
      </c>
      <c r="K15" s="129">
        <f>(J15/22)</f>
        <v>0.36363636363636365</v>
      </c>
      <c r="M15" s="172">
        <v>10</v>
      </c>
      <c r="N15" s="172"/>
      <c r="O15" s="112"/>
      <c r="P15" s="112"/>
      <c r="Q15" s="116"/>
      <c r="R15" s="112"/>
      <c r="S15" s="113"/>
      <c r="T15" s="114"/>
      <c r="U15" s="111"/>
      <c r="V15" s="79"/>
    </row>
    <row r="16" spans="1:37" ht="22.5" customHeight="1">
      <c r="A16" s="249" t="s">
        <v>35</v>
      </c>
      <c r="B16" s="249"/>
      <c r="C16" s="249"/>
      <c r="D16" s="249"/>
      <c r="E16" s="249"/>
      <c r="G16" s="249" t="s">
        <v>35</v>
      </c>
      <c r="H16" s="249"/>
      <c r="I16" s="249"/>
      <c r="J16" s="249"/>
      <c r="K16" s="249"/>
      <c r="M16" s="172"/>
      <c r="N16" s="172"/>
      <c r="Q16" s="264"/>
      <c r="R16" s="231" t="s">
        <v>3</v>
      </c>
      <c r="S16" s="232"/>
      <c r="T16" s="232"/>
      <c r="U16" s="232"/>
      <c r="V16" s="232"/>
      <c r="W16" s="232"/>
      <c r="X16" s="232"/>
      <c r="Y16" s="232"/>
      <c r="Z16" s="233"/>
      <c r="AB16" s="278"/>
      <c r="AC16" s="267" t="s">
        <v>4</v>
      </c>
      <c r="AD16" s="268"/>
      <c r="AE16" s="268"/>
      <c r="AF16" s="268"/>
      <c r="AG16" s="268"/>
      <c r="AH16" s="268"/>
      <c r="AI16" s="268"/>
      <c r="AJ16" s="268"/>
      <c r="AK16" s="269"/>
    </row>
    <row r="17" spans="1:37" ht="15" customHeight="1">
      <c r="A17" s="48" t="s">
        <v>20</v>
      </c>
      <c r="B17" s="48">
        <v>12</v>
      </c>
      <c r="C17" s="48">
        <v>17</v>
      </c>
      <c r="D17" s="176">
        <v>5</v>
      </c>
      <c r="E17" s="129">
        <f>(D17/18)</f>
        <v>0.27777777777777779</v>
      </c>
      <c r="G17" s="48" t="s">
        <v>20</v>
      </c>
      <c r="H17" s="48">
        <v>15</v>
      </c>
      <c r="I17" s="48">
        <v>17</v>
      </c>
      <c r="J17" s="176">
        <v>6</v>
      </c>
      <c r="K17" s="129">
        <f>(J17/22)</f>
        <v>0.27272727272727271</v>
      </c>
      <c r="M17" s="172">
        <v>11</v>
      </c>
      <c r="N17" s="172"/>
      <c r="O17" s="112"/>
      <c r="P17" s="112"/>
      <c r="Q17" s="265"/>
      <c r="R17" s="234"/>
      <c r="S17" s="235"/>
      <c r="T17" s="235"/>
      <c r="U17" s="235"/>
      <c r="V17" s="235"/>
      <c r="W17" s="235"/>
      <c r="X17" s="235"/>
      <c r="Y17" s="235"/>
      <c r="Z17" s="236"/>
      <c r="AB17" s="279"/>
      <c r="AC17" s="270"/>
      <c r="AD17" s="271"/>
      <c r="AE17" s="271"/>
      <c r="AF17" s="271"/>
      <c r="AG17" s="271"/>
      <c r="AH17" s="271"/>
      <c r="AI17" s="271"/>
      <c r="AJ17" s="271"/>
      <c r="AK17" s="272"/>
    </row>
    <row r="18" spans="1:37" s="79" customFormat="1" ht="15" customHeight="1">
      <c r="A18" s="173"/>
      <c r="B18" s="173"/>
      <c r="C18" s="262"/>
      <c r="D18" s="250" t="s">
        <v>36</v>
      </c>
      <c r="E18" s="253" t="s">
        <v>37</v>
      </c>
      <c r="J18" s="250" t="s">
        <v>38</v>
      </c>
      <c r="K18" s="253" t="s">
        <v>37</v>
      </c>
      <c r="L18" s="171"/>
      <c r="M18" s="172"/>
      <c r="N18" s="172"/>
      <c r="O18" s="111"/>
      <c r="P18" s="111"/>
      <c r="Q18" s="265"/>
      <c r="R18" s="237"/>
      <c r="S18" s="238"/>
      <c r="T18" s="238"/>
      <c r="U18" s="238"/>
      <c r="V18" s="238"/>
      <c r="W18" s="238"/>
      <c r="X18" s="238"/>
      <c r="Y18" s="238"/>
      <c r="Z18" s="239"/>
      <c r="AA18" s="240"/>
      <c r="AB18" s="279"/>
      <c r="AC18" s="273"/>
      <c r="AD18" s="274"/>
      <c r="AE18" s="274"/>
      <c r="AF18" s="274"/>
      <c r="AG18" s="274"/>
      <c r="AH18" s="274"/>
      <c r="AI18" s="274"/>
      <c r="AJ18" s="274"/>
      <c r="AK18" s="275"/>
    </row>
    <row r="19" spans="1:37" s="79" customFormat="1" ht="30" customHeight="1">
      <c r="C19" s="263"/>
      <c r="D19" s="251"/>
      <c r="E19" s="254"/>
      <c r="J19" s="251"/>
      <c r="K19" s="254"/>
      <c r="L19" s="171"/>
      <c r="M19" s="172"/>
      <c r="N19" s="172"/>
      <c r="O19" s="111"/>
      <c r="P19" s="111"/>
      <c r="Q19" s="266"/>
      <c r="R19" s="120" t="s">
        <v>12</v>
      </c>
      <c r="S19" s="121" t="s">
        <v>13</v>
      </c>
      <c r="T19" s="122" t="s">
        <v>14</v>
      </c>
      <c r="U19" s="120" t="s">
        <v>15</v>
      </c>
      <c r="V19" s="120" t="s">
        <v>16</v>
      </c>
      <c r="W19" s="120" t="s">
        <v>17</v>
      </c>
      <c r="X19" s="120" t="s">
        <v>18</v>
      </c>
      <c r="Y19" s="120" t="s">
        <v>19</v>
      </c>
      <c r="Z19" s="120" t="s">
        <v>20</v>
      </c>
      <c r="AA19" s="240"/>
      <c r="AB19" s="280"/>
      <c r="AC19" s="120" t="s">
        <v>12</v>
      </c>
      <c r="AD19" s="121" t="s">
        <v>13</v>
      </c>
      <c r="AE19" s="122" t="s">
        <v>14</v>
      </c>
      <c r="AF19" s="120" t="s">
        <v>15</v>
      </c>
      <c r="AG19" s="120" t="s">
        <v>16</v>
      </c>
      <c r="AH19" s="120" t="s">
        <v>17</v>
      </c>
      <c r="AI19" s="120" t="s">
        <v>18</v>
      </c>
      <c r="AJ19" s="120" t="s">
        <v>19</v>
      </c>
      <c r="AK19" s="120" t="s">
        <v>20</v>
      </c>
    </row>
    <row r="20" spans="1:37" s="79" customFormat="1" ht="30" customHeight="1">
      <c r="C20" s="263"/>
      <c r="D20" s="251"/>
      <c r="E20" s="254"/>
      <c r="J20" s="251"/>
      <c r="K20" s="254"/>
      <c r="L20" s="171"/>
      <c r="M20" s="172"/>
      <c r="N20" s="172"/>
      <c r="O20" s="111"/>
      <c r="P20" s="111"/>
      <c r="Q20" s="123" t="s">
        <v>22</v>
      </c>
      <c r="R20" s="124">
        <v>782</v>
      </c>
      <c r="S20" s="125">
        <v>782</v>
      </c>
      <c r="T20" s="126">
        <v>782</v>
      </c>
      <c r="U20" s="152">
        <v>782</v>
      </c>
      <c r="V20" s="176">
        <v>782</v>
      </c>
      <c r="W20" s="176">
        <v>782</v>
      </c>
      <c r="X20" s="176">
        <v>782</v>
      </c>
      <c r="Y20" s="176">
        <v>782</v>
      </c>
      <c r="Z20" s="176">
        <v>782</v>
      </c>
      <c r="AA20" s="240"/>
      <c r="AB20" s="123" t="s">
        <v>22</v>
      </c>
      <c r="AC20" s="156">
        <f t="shared" ref="AC20:AK20" si="6">AC5</f>
        <v>725</v>
      </c>
      <c r="AD20" s="156">
        <f t="shared" si="6"/>
        <v>725</v>
      </c>
      <c r="AE20" s="156">
        <f t="shared" si="6"/>
        <v>725</v>
      </c>
      <c r="AF20" s="156">
        <f t="shared" si="6"/>
        <v>725</v>
      </c>
      <c r="AG20" s="156">
        <f t="shared" si="6"/>
        <v>725</v>
      </c>
      <c r="AH20" s="156">
        <f t="shared" si="6"/>
        <v>725</v>
      </c>
      <c r="AI20" s="156">
        <f t="shared" si="6"/>
        <v>725</v>
      </c>
      <c r="AJ20" s="156">
        <f t="shared" si="6"/>
        <v>725</v>
      </c>
      <c r="AK20" s="156">
        <f t="shared" si="6"/>
        <v>725</v>
      </c>
    </row>
    <row r="21" spans="1:37" s="79" customFormat="1" ht="30" customHeight="1">
      <c r="C21" s="263"/>
      <c r="D21" s="251"/>
      <c r="E21" s="254"/>
      <c r="J21" s="251"/>
      <c r="K21" s="254"/>
      <c r="L21" s="171"/>
      <c r="M21" s="172"/>
      <c r="N21" s="172"/>
      <c r="O21" s="111"/>
      <c r="P21" s="111"/>
      <c r="Q21" s="123" t="s">
        <v>24</v>
      </c>
      <c r="R21" s="127">
        <v>0.08</v>
      </c>
      <c r="S21" s="127">
        <v>0.25800000000000001</v>
      </c>
      <c r="T21" s="127">
        <v>8.1000000000000003E-2</v>
      </c>
      <c r="U21" s="127">
        <v>0.29299999999999998</v>
      </c>
      <c r="V21" s="127">
        <v>0.10299999999999999</v>
      </c>
      <c r="W21" s="127">
        <v>0.28000000000000003</v>
      </c>
      <c r="X21" s="127">
        <v>0.38</v>
      </c>
      <c r="Y21" s="127">
        <v>0.16700000000000001</v>
      </c>
      <c r="Z21" s="127">
        <v>1</v>
      </c>
      <c r="AA21" s="240"/>
      <c r="AB21" s="123" t="s">
        <v>24</v>
      </c>
      <c r="AC21" s="157">
        <f t="shared" ref="AC21:AK21" si="7">AC6</f>
        <v>0.08</v>
      </c>
      <c r="AD21" s="157">
        <f t="shared" si="7"/>
        <v>0.25800000000000001</v>
      </c>
      <c r="AE21" s="157">
        <f t="shared" si="7"/>
        <v>8.1000000000000003E-2</v>
      </c>
      <c r="AF21" s="157">
        <f t="shared" si="7"/>
        <v>0.29299999999999998</v>
      </c>
      <c r="AG21" s="157">
        <f t="shared" si="7"/>
        <v>0.10299999999999999</v>
      </c>
      <c r="AH21" s="157">
        <f t="shared" si="7"/>
        <v>0.28000000000000003</v>
      </c>
      <c r="AI21" s="157">
        <f t="shared" si="7"/>
        <v>0.38</v>
      </c>
      <c r="AJ21" s="157">
        <f t="shared" si="7"/>
        <v>0.16700000000000001</v>
      </c>
      <c r="AK21" s="157">
        <f t="shared" si="7"/>
        <v>1</v>
      </c>
    </row>
    <row r="22" spans="1:37" s="79" customFormat="1" ht="30" customHeight="1">
      <c r="C22" s="263"/>
      <c r="D22" s="251"/>
      <c r="E22" s="254"/>
      <c r="J22" s="251"/>
      <c r="K22" s="254"/>
      <c r="L22" s="171"/>
      <c r="M22" s="172"/>
      <c r="N22" s="172"/>
      <c r="O22" s="111"/>
      <c r="P22" s="111"/>
      <c r="Q22" s="123" t="s">
        <v>26</v>
      </c>
      <c r="R22" s="128">
        <v>0.8</v>
      </c>
      <c r="S22" s="128">
        <v>0.5</v>
      </c>
      <c r="T22" s="128">
        <v>0.49</v>
      </c>
      <c r="U22" s="128">
        <v>0.45</v>
      </c>
      <c r="V22" s="128">
        <v>0.15</v>
      </c>
      <c r="W22" s="128">
        <v>0.45</v>
      </c>
      <c r="X22" s="128">
        <v>0.5</v>
      </c>
      <c r="Y22" s="128">
        <v>1</v>
      </c>
      <c r="Z22" s="128">
        <v>0.22</v>
      </c>
      <c r="AA22" s="240"/>
      <c r="AB22" s="123" t="s">
        <v>26</v>
      </c>
      <c r="AC22" s="157">
        <f t="shared" ref="AC22:AK22" si="8">AC7</f>
        <v>0.8</v>
      </c>
      <c r="AD22" s="157">
        <f t="shared" si="8"/>
        <v>0.5</v>
      </c>
      <c r="AE22" s="157">
        <f t="shared" si="8"/>
        <v>0.49</v>
      </c>
      <c r="AF22" s="157">
        <f t="shared" si="8"/>
        <v>0.45</v>
      </c>
      <c r="AG22" s="157">
        <f t="shared" si="8"/>
        <v>0.15</v>
      </c>
      <c r="AH22" s="157">
        <f t="shared" si="8"/>
        <v>0.45</v>
      </c>
      <c r="AI22" s="157">
        <f t="shared" si="8"/>
        <v>0.5</v>
      </c>
      <c r="AJ22" s="157">
        <f t="shared" si="8"/>
        <v>1</v>
      </c>
      <c r="AK22" s="157">
        <f t="shared" si="8"/>
        <v>0.22</v>
      </c>
    </row>
    <row r="23" spans="1:37" s="79" customFormat="1" ht="30" customHeight="1">
      <c r="C23" s="263"/>
      <c r="D23" s="251"/>
      <c r="E23" s="254"/>
      <c r="J23" s="251"/>
      <c r="K23" s="254"/>
      <c r="L23" s="171"/>
      <c r="M23" s="172"/>
      <c r="N23" s="172"/>
      <c r="O23" s="111"/>
      <c r="P23" s="111"/>
      <c r="Q23" s="123" t="s">
        <v>27</v>
      </c>
      <c r="R23" s="129">
        <f t="shared" ref="R23:Z23" si="9">R8</f>
        <v>0.1111111111111111</v>
      </c>
      <c r="S23" s="129">
        <f t="shared" si="9"/>
        <v>0.1111111111111111</v>
      </c>
      <c r="T23" s="129">
        <f t="shared" si="9"/>
        <v>0.22222222222222221</v>
      </c>
      <c r="U23" s="129">
        <f t="shared" si="9"/>
        <v>0.22222222222222221</v>
      </c>
      <c r="V23" s="153">
        <f t="shared" si="9"/>
        <v>0</v>
      </c>
      <c r="W23" s="153">
        <f t="shared" si="9"/>
        <v>0.1111111111111111</v>
      </c>
      <c r="X23" s="153">
        <f t="shared" si="9"/>
        <v>5.5555555555555552E-2</v>
      </c>
      <c r="Y23" s="153">
        <f t="shared" si="9"/>
        <v>0.1111111111111111</v>
      </c>
      <c r="Z23" s="153">
        <f t="shared" si="9"/>
        <v>0.27777777777777779</v>
      </c>
      <c r="AA23" s="240"/>
      <c r="AB23" s="123" t="s">
        <v>27</v>
      </c>
      <c r="AC23" s="158">
        <f t="shared" ref="AC23:AK23" si="10">AC8</f>
        <v>4.5454545454545456E-2</v>
      </c>
      <c r="AD23" s="158">
        <f t="shared" si="10"/>
        <v>4.5454545454545456E-2</v>
      </c>
      <c r="AE23" s="158">
        <f t="shared" si="10"/>
        <v>4.5454545454545456E-2</v>
      </c>
      <c r="AF23" s="158">
        <f t="shared" si="10"/>
        <v>4.5454545454545456E-2</v>
      </c>
      <c r="AG23" s="158">
        <f t="shared" si="10"/>
        <v>9.0909090909090912E-2</v>
      </c>
      <c r="AH23" s="158">
        <f t="shared" si="10"/>
        <v>0.13636363636363635</v>
      </c>
      <c r="AI23" s="158">
        <f t="shared" si="10"/>
        <v>4.5454545454545456E-2</v>
      </c>
      <c r="AJ23" s="158">
        <f t="shared" si="10"/>
        <v>0.1111</v>
      </c>
      <c r="AK23" s="158">
        <f t="shared" si="10"/>
        <v>0.27272727272727271</v>
      </c>
    </row>
    <row r="24" spans="1:37" s="79" customFormat="1" ht="30" customHeight="1">
      <c r="C24" s="263"/>
      <c r="D24" s="251"/>
      <c r="E24" s="254"/>
      <c r="J24" s="251"/>
      <c r="K24" s="254"/>
      <c r="L24" s="171"/>
      <c r="M24" s="172"/>
      <c r="N24" s="172"/>
      <c r="O24" s="111"/>
      <c r="P24" s="111"/>
      <c r="Q24" s="123" t="s">
        <v>29</v>
      </c>
      <c r="R24" s="164">
        <f t="shared" ref="R24:Z24" si="11">R9</f>
        <v>5.560888888888889</v>
      </c>
      <c r="S24" s="164">
        <f t="shared" si="11"/>
        <v>11.208666666666666</v>
      </c>
      <c r="T24" s="165">
        <f t="shared" si="11"/>
        <v>6.8972399999999991</v>
      </c>
      <c r="U24" s="166">
        <f t="shared" si="11"/>
        <v>22.912599999999998</v>
      </c>
      <c r="V24" s="164">
        <f t="shared" si="11"/>
        <v>0</v>
      </c>
      <c r="W24" s="164">
        <f t="shared" si="11"/>
        <v>10.948</v>
      </c>
      <c r="X24" s="164">
        <f t="shared" si="11"/>
        <v>8.2544444444444451</v>
      </c>
      <c r="Y24" s="164">
        <f t="shared" si="11"/>
        <v>14.510444444444444</v>
      </c>
      <c r="Z24" s="164">
        <f t="shared" si="11"/>
        <v>47.788888888888891</v>
      </c>
      <c r="AA24" s="240"/>
      <c r="AB24" s="123" t="s">
        <v>29</v>
      </c>
      <c r="AC24" s="167">
        <f t="shared" ref="AC24:AK24" si="12">AC9</f>
        <v>2.1090909090909093</v>
      </c>
      <c r="AD24" s="167">
        <f t="shared" si="12"/>
        <v>4.2511363636363644</v>
      </c>
      <c r="AE24" s="168">
        <f t="shared" si="12"/>
        <v>1.307965909090909</v>
      </c>
      <c r="AF24" s="169">
        <f t="shared" si="12"/>
        <v>4.3450568181818179</v>
      </c>
      <c r="AG24" s="167">
        <f t="shared" si="12"/>
        <v>1.0182954545454546</v>
      </c>
      <c r="AH24" s="167">
        <f t="shared" si="12"/>
        <v>12.456818181818182</v>
      </c>
      <c r="AI24" s="167">
        <f t="shared" si="12"/>
        <v>6.2613636363636367</v>
      </c>
      <c r="AJ24" s="167">
        <f t="shared" si="12"/>
        <v>13.451432500000001</v>
      </c>
      <c r="AK24" s="167">
        <f t="shared" si="12"/>
        <v>43.5</v>
      </c>
    </row>
    <row r="25" spans="1:37" s="79" customFormat="1" ht="30" customHeight="1">
      <c r="C25" s="263"/>
      <c r="D25" s="251"/>
      <c r="E25" s="254"/>
      <c r="J25" s="251"/>
      <c r="K25" s="254"/>
      <c r="L25" s="171"/>
      <c r="M25" s="172"/>
      <c r="N25" s="172"/>
      <c r="O25" s="111"/>
      <c r="P25" s="111"/>
      <c r="Q25" s="123" t="s">
        <v>39</v>
      </c>
      <c r="R25" s="155">
        <f>'Colorectal Benefit'!$R$15</f>
        <v>1242.5410750630153</v>
      </c>
      <c r="S25" s="155">
        <f>'Heart Disease Benefit'!$S$16</f>
        <v>1264.7556786428504</v>
      </c>
      <c r="T25" s="155">
        <f>'Stroke Benefits'!$U$18</f>
        <v>3487.8827485273468</v>
      </c>
      <c r="U25" s="155">
        <f>'Hypertension Benefit'!$S$29</f>
        <v>4090.6286200237264</v>
      </c>
      <c r="V25" s="155">
        <f>osteoporosis!$M$22</f>
        <v>3472.7206980956112</v>
      </c>
      <c r="W25" s="155">
        <f>'Type 2 Diabeties'!$Q$18</f>
        <v>3730.3402362679958</v>
      </c>
      <c r="X25" s="155">
        <f>Obesity!$N$32</f>
        <v>3529.7997763963713</v>
      </c>
      <c r="Y25" s="155">
        <f>'Foodborne illness'!$M$34</f>
        <v>1632.4774158057662</v>
      </c>
      <c r="Z25" s="174">
        <v>0</v>
      </c>
      <c r="AA25" s="240"/>
      <c r="AB25" s="123" t="s">
        <v>30</v>
      </c>
      <c r="AC25" s="155">
        <f>'Colorectal Benefit'!$R$15</f>
        <v>1242.5410750630153</v>
      </c>
      <c r="AD25" s="155">
        <f>'Heart Disease Benefit'!$S$16</f>
        <v>1264.7556786428504</v>
      </c>
      <c r="AE25" s="155">
        <f>'Stroke Benefits'!$U$18</f>
        <v>3487.8827485273468</v>
      </c>
      <c r="AF25" s="155">
        <f>'Hypertension Benefit'!$S$29</f>
        <v>4090.6286200237264</v>
      </c>
      <c r="AG25" s="155">
        <f>osteoporosis!$M$22</f>
        <v>3472.7206980956112</v>
      </c>
      <c r="AH25" s="155">
        <f>'Type 2 Diabeties'!$Q$18</f>
        <v>3730.3402362679958</v>
      </c>
      <c r="AI25" s="155">
        <f>Obesity!$N$32</f>
        <v>3529.7997763963713</v>
      </c>
      <c r="AJ25" s="155">
        <f>'Foodborne illness'!$M$34</f>
        <v>1632.4774158057662</v>
      </c>
      <c r="AK25" s="174"/>
    </row>
    <row r="26" spans="1:37" s="79" customFormat="1">
      <c r="C26" s="263"/>
      <c r="D26" s="251"/>
      <c r="E26" s="254"/>
      <c r="J26" s="251"/>
      <c r="K26" s="254"/>
      <c r="L26" s="171"/>
      <c r="M26" s="172"/>
      <c r="N26" s="172"/>
      <c r="O26" s="111"/>
      <c r="P26" s="111"/>
      <c r="Q26" s="282" t="s">
        <v>40</v>
      </c>
      <c r="R26" s="225">
        <f t="shared" ref="R26:Z26" si="13">R24*R25</f>
        <v>6909.6328583059767</v>
      </c>
      <c r="S26" s="225">
        <f t="shared" si="13"/>
        <v>14176.224816681495</v>
      </c>
      <c r="T26" s="257">
        <f t="shared" si="13"/>
        <v>24056.764408452756</v>
      </c>
      <c r="U26" s="259">
        <f t="shared" si="13"/>
        <v>93726.937319155622</v>
      </c>
      <c r="V26" s="225">
        <f t="shared" si="13"/>
        <v>0</v>
      </c>
      <c r="W26" s="225">
        <f t="shared" si="13"/>
        <v>40839.764906662022</v>
      </c>
      <c r="X26" s="225">
        <f t="shared" si="13"/>
        <v>29136.536154276273</v>
      </c>
      <c r="Y26" s="225">
        <f t="shared" si="13"/>
        <v>23687.972848859801</v>
      </c>
      <c r="Z26" s="225">
        <f t="shared" si="13"/>
        <v>0</v>
      </c>
      <c r="AA26" s="240"/>
      <c r="AB26" s="281" t="s">
        <v>31</v>
      </c>
      <c r="AC26" s="276">
        <f t="shared" ref="AC26:AK26" si="14">AC24*AC25</f>
        <v>2620.632085587451</v>
      </c>
      <c r="AD26" s="276">
        <f t="shared" si="14"/>
        <v>5376.6488565942091</v>
      </c>
      <c r="AE26" s="276">
        <f t="shared" si="14"/>
        <v>4562.0317299800699</v>
      </c>
      <c r="AF26" s="276">
        <f t="shared" si="14"/>
        <v>17774.013776083772</v>
      </c>
      <c r="AG26" s="276">
        <f t="shared" si="14"/>
        <v>3536.2557017766785</v>
      </c>
      <c r="AH26" s="276">
        <f t="shared" si="14"/>
        <v>46468.170079511103</v>
      </c>
      <c r="AI26" s="276">
        <f t="shared" si="14"/>
        <v>22101.359963572733</v>
      </c>
      <c r="AJ26" s="276">
        <f t="shared" si="14"/>
        <v>21959.1597664857</v>
      </c>
      <c r="AK26" s="276">
        <f t="shared" si="14"/>
        <v>0</v>
      </c>
    </row>
    <row r="27" spans="1:37" s="79" customFormat="1">
      <c r="D27" s="251"/>
      <c r="E27" s="254"/>
      <c r="J27" s="251"/>
      <c r="K27" s="254"/>
      <c r="L27" s="171"/>
      <c r="M27" s="172"/>
      <c r="N27" s="172"/>
      <c r="O27" s="111"/>
      <c r="P27" s="111"/>
      <c r="Q27" s="282"/>
      <c r="R27" s="226"/>
      <c r="S27" s="226"/>
      <c r="T27" s="258"/>
      <c r="U27" s="260"/>
      <c r="V27" s="226"/>
      <c r="W27" s="226"/>
      <c r="X27" s="226"/>
      <c r="Y27" s="226"/>
      <c r="Z27" s="226"/>
      <c r="AA27" s="240"/>
      <c r="AB27" s="281"/>
      <c r="AC27" s="277"/>
      <c r="AD27" s="277"/>
      <c r="AE27" s="277"/>
      <c r="AF27" s="277"/>
      <c r="AG27" s="277"/>
      <c r="AH27" s="277"/>
      <c r="AI27" s="277"/>
      <c r="AJ27" s="277"/>
      <c r="AK27" s="277"/>
    </row>
    <row r="28" spans="1:37" s="79" customFormat="1">
      <c r="D28" s="251"/>
      <c r="E28" s="254"/>
      <c r="J28" s="251"/>
      <c r="K28" s="254"/>
      <c r="L28" s="171"/>
      <c r="M28" s="172"/>
      <c r="N28" s="172"/>
      <c r="O28" s="111"/>
      <c r="P28" s="111"/>
      <c r="Q28" s="136" t="s">
        <v>41</v>
      </c>
      <c r="R28" s="155">
        <f>SUM(R26:Z27)</f>
        <v>232533.83331239395</v>
      </c>
      <c r="S28" s="155"/>
      <c r="T28" s="155"/>
      <c r="U28" s="155"/>
      <c r="V28" s="155"/>
      <c r="W28" s="155"/>
      <c r="X28" s="155"/>
      <c r="Y28" s="155"/>
      <c r="Z28" s="174"/>
      <c r="AA28" s="240"/>
      <c r="AB28" s="119" t="s">
        <v>41</v>
      </c>
      <c r="AC28" s="160">
        <f>SUM(AC26:AK27)</f>
        <v>124398.2719595917</v>
      </c>
      <c r="AD28" s="160"/>
      <c r="AE28" s="160"/>
      <c r="AF28" s="160"/>
      <c r="AG28" s="160"/>
      <c r="AH28" s="160"/>
      <c r="AI28" s="160"/>
      <c r="AJ28" s="160"/>
      <c r="AK28" s="160"/>
    </row>
    <row r="29" spans="1:37" s="79" customFormat="1">
      <c r="D29" s="251"/>
      <c r="E29" s="254"/>
      <c r="J29" s="251"/>
      <c r="K29" s="254"/>
      <c r="L29" s="171"/>
      <c r="M29" s="172"/>
      <c r="N29" s="172"/>
      <c r="O29" s="111"/>
      <c r="P29" s="111"/>
      <c r="Q29" s="145"/>
      <c r="R29" s="111"/>
      <c r="S29" s="111"/>
      <c r="T29" s="111"/>
      <c r="U29" s="111"/>
      <c r="AA29" s="240"/>
    </row>
    <row r="30" spans="1:37" s="79" customFormat="1">
      <c r="D30" s="251"/>
      <c r="E30" s="254"/>
      <c r="J30" s="251"/>
      <c r="K30" s="254"/>
      <c r="L30" s="171"/>
      <c r="M30" s="172"/>
      <c r="N30" s="172"/>
      <c r="O30" s="111"/>
      <c r="P30" s="111"/>
      <c r="Q30" s="145"/>
      <c r="R30" s="111"/>
      <c r="S30" s="111"/>
      <c r="T30" s="111"/>
      <c r="U30" s="111"/>
      <c r="AA30" s="240"/>
    </row>
    <row r="31" spans="1:37" s="79" customFormat="1">
      <c r="D31" s="251"/>
      <c r="E31" s="254"/>
      <c r="J31" s="251"/>
      <c r="K31" s="254"/>
      <c r="L31" s="171"/>
      <c r="M31" s="172"/>
      <c r="N31" s="172"/>
      <c r="O31" s="111"/>
      <c r="P31" s="111"/>
      <c r="Q31" s="145"/>
      <c r="R31" s="111"/>
      <c r="S31" s="111"/>
      <c r="T31" s="111"/>
      <c r="U31" s="111"/>
      <c r="AA31" s="240"/>
    </row>
    <row r="32" spans="1:37" s="79" customFormat="1">
      <c r="D32" s="251"/>
      <c r="E32" s="254"/>
      <c r="J32" s="251"/>
      <c r="K32" s="254"/>
      <c r="L32" s="171"/>
      <c r="M32" s="172"/>
      <c r="N32" s="172"/>
      <c r="O32" s="111"/>
      <c r="P32" s="111"/>
      <c r="Q32" s="145"/>
      <c r="R32" s="111"/>
      <c r="S32" s="111"/>
      <c r="T32" s="111"/>
      <c r="U32" s="111"/>
      <c r="AA32" s="240"/>
    </row>
    <row r="33" spans="4:27" s="79" customFormat="1">
      <c r="D33" s="251"/>
      <c r="E33" s="254"/>
      <c r="J33" s="251"/>
      <c r="K33" s="254"/>
      <c r="L33" s="171"/>
      <c r="M33" s="172"/>
      <c r="N33" s="172"/>
      <c r="O33" s="111"/>
      <c r="P33" s="111"/>
      <c r="Q33" s="145"/>
      <c r="R33" s="111" t="s">
        <v>3</v>
      </c>
      <c r="S33" s="111" t="s">
        <v>4</v>
      </c>
      <c r="T33" s="111"/>
      <c r="U33" s="111" t="s">
        <v>119</v>
      </c>
      <c r="AA33" s="240"/>
    </row>
    <row r="34" spans="4:27" s="79" customFormat="1">
      <c r="D34" s="252"/>
      <c r="E34" s="255"/>
      <c r="J34" s="252"/>
      <c r="K34" s="255"/>
      <c r="L34" s="171"/>
      <c r="M34" s="172"/>
      <c r="N34" s="172"/>
      <c r="O34" s="111"/>
      <c r="P34" s="111"/>
      <c r="Q34" s="79" t="s">
        <v>42</v>
      </c>
      <c r="R34" s="79">
        <v>782</v>
      </c>
      <c r="S34" s="79">
        <v>725</v>
      </c>
      <c r="T34" s="111"/>
      <c r="U34" s="111"/>
      <c r="AA34" s="240"/>
    </row>
    <row r="35" spans="4:27" s="79" customFormat="1">
      <c r="D35" s="108"/>
      <c r="E35" s="144"/>
      <c r="L35" s="171"/>
      <c r="M35" s="172"/>
      <c r="N35" s="172"/>
      <c r="O35" s="111"/>
      <c r="P35" s="111"/>
      <c r="Q35" s="145" t="s">
        <v>43</v>
      </c>
      <c r="R35" s="161">
        <f>$R$13</f>
        <v>2383613.3754397365</v>
      </c>
      <c r="S35" s="161">
        <f>$AC$13</f>
        <v>2283675.4830924501</v>
      </c>
      <c r="T35" s="111"/>
      <c r="U35" s="111"/>
      <c r="AA35" s="240"/>
    </row>
    <row r="36" spans="4:27" s="79" customFormat="1">
      <c r="D36" s="108"/>
      <c r="E36" s="144"/>
      <c r="L36" s="171"/>
      <c r="M36" s="172"/>
      <c r="N36" s="172"/>
      <c r="O36" s="111"/>
      <c r="P36" s="111"/>
      <c r="Q36" s="145" t="s">
        <v>44</v>
      </c>
      <c r="R36" s="161">
        <f>(R35/R34)</f>
        <v>3048.0989455751105</v>
      </c>
      <c r="S36" s="161">
        <f>(S35/S34)</f>
        <v>3149.897218058552</v>
      </c>
      <c r="T36" s="111"/>
      <c r="U36" s="111"/>
      <c r="AA36" s="240"/>
    </row>
    <row r="37" spans="4:27" s="79" customFormat="1">
      <c r="D37" s="108"/>
      <c r="E37" s="144"/>
      <c r="L37" s="171"/>
      <c r="M37" s="172"/>
      <c r="N37" s="172"/>
      <c r="O37" s="111"/>
      <c r="P37" s="111"/>
      <c r="Q37" s="145" t="s">
        <v>45</v>
      </c>
      <c r="R37" s="161">
        <f>$R$28</f>
        <v>232533.83331239395</v>
      </c>
      <c r="S37" s="161">
        <f>$AC$28</f>
        <v>124398.2719595917</v>
      </c>
      <c r="T37" s="111"/>
      <c r="U37" s="111"/>
      <c r="AA37" s="240"/>
    </row>
    <row r="38" spans="4:27" s="79" customFormat="1">
      <c r="D38" s="108"/>
      <c r="E38" s="144"/>
      <c r="L38" s="171"/>
      <c r="M38" s="172"/>
      <c r="N38" s="172"/>
      <c r="O38" s="111"/>
      <c r="P38" s="111"/>
      <c r="Q38" s="145" t="s">
        <v>46</v>
      </c>
      <c r="R38" s="161">
        <f>(R37/R34)</f>
        <v>297.3578431104782</v>
      </c>
      <c r="S38" s="161">
        <f>S37/S34</f>
        <v>171.58382339254027</v>
      </c>
      <c r="T38" s="111"/>
      <c r="U38" s="111"/>
      <c r="AA38" s="240"/>
    </row>
    <row r="39" spans="4:27" s="79" customFormat="1">
      <c r="D39" s="108"/>
      <c r="E39" s="144"/>
      <c r="L39" s="171"/>
      <c r="M39" s="172"/>
      <c r="N39" s="172"/>
      <c r="O39" s="111"/>
      <c r="P39" s="111"/>
      <c r="Q39" s="145" t="s">
        <v>47</v>
      </c>
      <c r="R39" s="161">
        <f>SUM(R35,R37)</f>
        <v>2616147.2087521306</v>
      </c>
      <c r="S39" s="161">
        <f>SUM(S35,S37)</f>
        <v>2408073.7550520417</v>
      </c>
      <c r="T39" s="111"/>
      <c r="U39" s="111"/>
      <c r="AA39" s="240"/>
    </row>
    <row r="40" spans="4:27" s="79" customFormat="1">
      <c r="D40" s="108"/>
      <c r="E40" s="144"/>
      <c r="L40" s="171"/>
      <c r="M40" s="172"/>
      <c r="N40" s="172"/>
      <c r="O40" s="111"/>
      <c r="P40" s="111"/>
      <c r="Q40" s="145" t="s">
        <v>48</v>
      </c>
      <c r="R40" s="161">
        <f>R39/R34</f>
        <v>3345.4567886855889</v>
      </c>
      <c r="S40" s="161">
        <f>S39/S34</f>
        <v>3321.4810414510921</v>
      </c>
      <c r="T40" s="111"/>
      <c r="U40" s="161">
        <f>R40+S40</f>
        <v>6666.9378301366814</v>
      </c>
      <c r="AA40" s="240"/>
    </row>
    <row r="41" spans="4:27" s="79" customFormat="1">
      <c r="D41" s="108"/>
      <c r="E41" s="144"/>
      <c r="L41" s="171"/>
      <c r="M41" s="172"/>
      <c r="N41" s="172"/>
      <c r="O41" s="111"/>
      <c r="P41" s="111"/>
      <c r="Q41" s="145" t="s">
        <v>49</v>
      </c>
      <c r="R41" s="162">
        <v>572460.6</v>
      </c>
      <c r="S41" s="162">
        <v>1249675.22</v>
      </c>
      <c r="T41" s="111"/>
      <c r="U41" s="111"/>
      <c r="AA41" s="240"/>
    </row>
    <row r="42" spans="4:27" s="79" customFormat="1">
      <c r="D42" s="108"/>
      <c r="E42" s="144"/>
      <c r="L42" s="171"/>
      <c r="M42" s="172"/>
      <c r="N42" s="172"/>
      <c r="O42" s="111"/>
      <c r="P42" s="111"/>
      <c r="Q42" s="145" t="s">
        <v>50</v>
      </c>
      <c r="R42" s="162">
        <f>R41/R34</f>
        <v>732.04680306905368</v>
      </c>
      <c r="S42" s="162">
        <f>S41/S34</f>
        <v>1723.6899586206896</v>
      </c>
      <c r="T42" s="111"/>
      <c r="U42" s="162">
        <f>R42+S42</f>
        <v>2455.7367616897432</v>
      </c>
      <c r="AA42" s="240"/>
    </row>
    <row r="43" spans="4:27" s="79" customFormat="1">
      <c r="D43" s="108"/>
      <c r="E43" s="144"/>
      <c r="L43" s="171"/>
      <c r="M43" s="172"/>
      <c r="N43" s="172"/>
      <c r="O43" s="111"/>
      <c r="P43" s="111"/>
      <c r="Q43" s="145" t="s">
        <v>51</v>
      </c>
      <c r="R43" s="163">
        <f>R40/R42</f>
        <v>4.5700039596648754</v>
      </c>
      <c r="S43" s="163">
        <f>S40/S42</f>
        <v>1.9269596744120778</v>
      </c>
      <c r="T43" s="111"/>
      <c r="U43" s="111">
        <f>U40/U42</f>
        <v>2.7148422152337268</v>
      </c>
      <c r="AA43" s="240"/>
    </row>
    <row r="44" spans="4:27" s="79" customFormat="1">
      <c r="D44" s="108"/>
      <c r="E44" s="144"/>
      <c r="L44" s="171"/>
      <c r="M44" s="172"/>
      <c r="N44" s="172"/>
      <c r="O44" s="111"/>
      <c r="P44" s="111"/>
      <c r="Q44" s="145"/>
      <c r="R44" s="111"/>
      <c r="S44" s="111"/>
      <c r="T44" s="111"/>
      <c r="U44" s="111"/>
      <c r="AA44" s="240"/>
    </row>
    <row r="45" spans="4:27" s="79" customFormat="1">
      <c r="D45" s="108"/>
      <c r="E45" s="144"/>
      <c r="L45" s="171"/>
      <c r="M45" s="172"/>
      <c r="N45" s="172"/>
      <c r="O45" s="111"/>
      <c r="P45" s="111"/>
      <c r="Q45" s="145"/>
      <c r="R45" s="111"/>
      <c r="S45" s="111"/>
      <c r="T45" s="111"/>
      <c r="U45" s="111"/>
      <c r="AA45" s="240"/>
    </row>
    <row r="46" spans="4:27" s="79" customFormat="1">
      <c r="D46" s="108"/>
      <c r="E46" s="144"/>
      <c r="L46" s="171"/>
      <c r="M46" s="172"/>
      <c r="N46" s="172"/>
      <c r="O46" s="111"/>
      <c r="P46" s="111"/>
      <c r="Q46" s="145"/>
      <c r="R46" s="111"/>
      <c r="S46" s="111"/>
      <c r="T46" s="111"/>
      <c r="U46" s="111"/>
      <c r="AA46" s="240"/>
    </row>
    <row r="47" spans="4:27" s="79" customFormat="1">
      <c r="D47" s="108"/>
      <c r="E47" s="144"/>
      <c r="L47" s="171"/>
      <c r="M47" s="172"/>
      <c r="N47" s="172"/>
      <c r="O47" s="111"/>
      <c r="P47" s="111"/>
      <c r="Q47" s="145"/>
      <c r="R47" s="111"/>
      <c r="S47" s="111"/>
      <c r="T47" s="111"/>
      <c r="U47" s="111"/>
      <c r="AA47" s="240"/>
    </row>
    <row r="48" spans="4:27" s="79" customFormat="1">
      <c r="D48" s="108"/>
      <c r="E48" s="144"/>
      <c r="L48" s="171"/>
      <c r="M48" s="172"/>
      <c r="N48" s="172"/>
      <c r="O48" s="111"/>
      <c r="P48" s="111"/>
      <c r="Q48" s="145"/>
      <c r="R48" s="111"/>
      <c r="S48" s="111"/>
      <c r="T48" s="111"/>
      <c r="U48" s="111"/>
      <c r="AA48" s="240"/>
    </row>
    <row r="49" spans="4:27" s="79" customFormat="1">
      <c r="D49" s="108"/>
      <c r="E49" s="144"/>
      <c r="L49" s="171"/>
      <c r="M49" s="172"/>
      <c r="N49" s="172"/>
      <c r="O49" s="111"/>
      <c r="P49" s="111"/>
      <c r="Q49" s="145"/>
      <c r="R49" s="111"/>
      <c r="S49" s="111"/>
      <c r="T49" s="111"/>
      <c r="U49" s="111"/>
      <c r="AA49" s="240"/>
    </row>
    <row r="50" spans="4:27" s="79" customFormat="1">
      <c r="D50" s="108"/>
      <c r="E50" s="144"/>
      <c r="L50" s="171"/>
      <c r="M50" s="172"/>
      <c r="N50" s="172"/>
      <c r="O50" s="111"/>
      <c r="P50" s="111"/>
      <c r="Q50" s="145"/>
      <c r="R50" s="111"/>
      <c r="S50" s="111"/>
      <c r="T50" s="111"/>
      <c r="U50" s="111"/>
      <c r="AA50" s="240"/>
    </row>
    <row r="51" spans="4:27" s="79" customFormat="1">
      <c r="D51" s="108"/>
      <c r="E51" s="144"/>
      <c r="L51" s="171"/>
      <c r="M51" s="172"/>
      <c r="N51" s="172"/>
      <c r="O51" s="111"/>
      <c r="P51" s="111"/>
      <c r="Q51" s="145"/>
      <c r="R51" s="111"/>
      <c r="S51" s="111"/>
      <c r="T51" s="111"/>
      <c r="U51" s="111"/>
      <c r="AA51" s="240"/>
    </row>
    <row r="52" spans="4:27" s="79" customFormat="1">
      <c r="D52" s="108"/>
      <c r="E52" s="144"/>
      <c r="L52" s="171"/>
      <c r="M52" s="172"/>
      <c r="N52" s="172"/>
      <c r="O52" s="111"/>
      <c r="P52" s="111"/>
      <c r="Q52" s="145"/>
      <c r="R52" s="111"/>
      <c r="S52" s="111"/>
      <c r="T52" s="111"/>
      <c r="U52" s="111"/>
      <c r="AA52" s="240"/>
    </row>
    <row r="53" spans="4:27" s="79" customFormat="1">
      <c r="D53" s="108"/>
      <c r="E53" s="144"/>
      <c r="L53" s="171"/>
      <c r="M53" s="172"/>
      <c r="N53" s="172"/>
      <c r="O53" s="111"/>
      <c r="P53" s="111"/>
      <c r="Q53" s="145"/>
      <c r="R53" s="111"/>
      <c r="S53" s="111"/>
      <c r="T53" s="111"/>
      <c r="U53" s="111"/>
      <c r="AA53" s="240"/>
    </row>
    <row r="54" spans="4:27" s="79" customFormat="1">
      <c r="D54" s="108"/>
      <c r="E54" s="144"/>
      <c r="L54" s="171"/>
      <c r="M54" s="172"/>
      <c r="N54" s="172"/>
      <c r="O54" s="111"/>
      <c r="P54" s="111"/>
      <c r="Q54" s="145"/>
      <c r="R54" s="111"/>
      <c r="S54" s="111"/>
      <c r="T54" s="111"/>
      <c r="U54" s="111"/>
      <c r="AA54" s="240"/>
    </row>
    <row r="55" spans="4:27" s="79" customFormat="1">
      <c r="D55" s="108"/>
      <c r="E55" s="144"/>
      <c r="L55" s="171"/>
      <c r="M55" s="172"/>
      <c r="N55" s="172"/>
      <c r="O55" s="111"/>
      <c r="P55" s="111"/>
      <c r="Q55" s="145"/>
      <c r="R55" s="111"/>
      <c r="S55" s="111"/>
      <c r="T55" s="111"/>
      <c r="U55" s="111"/>
      <c r="AA55" s="240"/>
    </row>
    <row r="56" spans="4:27" s="79" customFormat="1">
      <c r="D56" s="108"/>
      <c r="E56" s="144"/>
      <c r="L56" s="171"/>
      <c r="M56" s="172"/>
      <c r="N56" s="172"/>
      <c r="O56" s="111"/>
      <c r="P56" s="111"/>
      <c r="Q56" s="145"/>
      <c r="R56" s="111"/>
      <c r="S56" s="111"/>
      <c r="T56" s="111"/>
      <c r="U56" s="111"/>
      <c r="AA56" s="240"/>
    </row>
    <row r="57" spans="4:27" s="79" customFormat="1">
      <c r="D57" s="108"/>
      <c r="E57" s="144"/>
      <c r="L57" s="171"/>
      <c r="M57" s="172"/>
      <c r="N57" s="172"/>
      <c r="O57" s="111"/>
      <c r="P57" s="111"/>
      <c r="Q57" s="145"/>
      <c r="R57" s="111"/>
      <c r="S57" s="111"/>
      <c r="T57" s="111"/>
      <c r="U57" s="111"/>
      <c r="AA57" s="240"/>
    </row>
    <row r="58" spans="4:27" s="79" customFormat="1">
      <c r="D58" s="108"/>
      <c r="E58" s="144"/>
      <c r="L58" s="171"/>
      <c r="M58" s="172"/>
      <c r="N58" s="172"/>
      <c r="O58" s="111"/>
      <c r="P58" s="111"/>
      <c r="Q58" s="145"/>
      <c r="R58" s="111"/>
      <c r="S58" s="111"/>
      <c r="T58" s="111"/>
      <c r="U58" s="111"/>
      <c r="AA58" s="240"/>
    </row>
    <row r="59" spans="4:27" s="79" customFormat="1">
      <c r="D59" s="108"/>
      <c r="E59" s="144"/>
      <c r="L59" s="171"/>
      <c r="M59" s="172"/>
      <c r="N59" s="172"/>
      <c r="O59" s="111"/>
      <c r="P59" s="111"/>
      <c r="Q59" s="145"/>
      <c r="R59" s="111"/>
      <c r="S59" s="111"/>
      <c r="T59" s="111"/>
      <c r="U59" s="111"/>
      <c r="AA59" s="240"/>
    </row>
    <row r="60" spans="4:27" s="79" customFormat="1">
      <c r="D60" s="108"/>
      <c r="E60" s="144"/>
      <c r="L60" s="171"/>
      <c r="M60" s="172"/>
      <c r="N60" s="172"/>
      <c r="O60" s="111"/>
      <c r="P60" s="111"/>
      <c r="Q60" s="145"/>
      <c r="R60" s="111"/>
      <c r="S60" s="111"/>
      <c r="T60" s="111"/>
      <c r="U60" s="111"/>
      <c r="AA60" s="240"/>
    </row>
    <row r="61" spans="4:27" s="79" customFormat="1">
      <c r="D61" s="108"/>
      <c r="E61" s="144"/>
      <c r="L61" s="171"/>
      <c r="M61" s="172"/>
      <c r="N61" s="172"/>
      <c r="O61" s="111"/>
      <c r="P61" s="111"/>
      <c r="Q61" s="145"/>
      <c r="R61" s="111"/>
      <c r="S61" s="111"/>
      <c r="T61" s="111"/>
      <c r="U61" s="111"/>
      <c r="AA61" s="240"/>
    </row>
    <row r="62" spans="4:27" s="79" customFormat="1">
      <c r="D62" s="108"/>
      <c r="E62" s="144"/>
      <c r="L62" s="171"/>
      <c r="M62" s="172"/>
      <c r="N62" s="172"/>
      <c r="O62" s="111"/>
      <c r="P62" s="111"/>
      <c r="Q62" s="145"/>
      <c r="R62" s="111"/>
      <c r="S62" s="111"/>
      <c r="T62" s="111"/>
      <c r="U62" s="111"/>
      <c r="AA62" s="240"/>
    </row>
    <row r="63" spans="4:27" s="79" customFormat="1">
      <c r="D63" s="108"/>
      <c r="E63" s="144"/>
      <c r="L63" s="171"/>
      <c r="M63" s="172"/>
      <c r="N63" s="172"/>
      <c r="O63" s="111"/>
      <c r="P63" s="111"/>
      <c r="Q63" s="145"/>
      <c r="R63" s="111"/>
      <c r="S63" s="111"/>
      <c r="T63" s="111"/>
      <c r="U63" s="111"/>
      <c r="AA63" s="240"/>
    </row>
    <row r="64" spans="4:27" s="79" customFormat="1">
      <c r="D64" s="108"/>
      <c r="E64" s="144"/>
      <c r="L64" s="171"/>
      <c r="M64" s="172"/>
      <c r="N64" s="172"/>
      <c r="O64" s="111"/>
      <c r="P64" s="111"/>
      <c r="Q64" s="145"/>
      <c r="R64" s="111"/>
      <c r="S64" s="111"/>
      <c r="T64" s="111"/>
      <c r="U64" s="111"/>
      <c r="AA64" s="240"/>
    </row>
    <row r="65" spans="4:27" s="79" customFormat="1">
      <c r="D65" s="108"/>
      <c r="E65" s="144"/>
      <c r="L65" s="171"/>
      <c r="M65" s="172"/>
      <c r="N65" s="172"/>
      <c r="O65" s="111"/>
      <c r="P65" s="111"/>
      <c r="Q65" s="145"/>
      <c r="R65" s="111"/>
      <c r="S65" s="111"/>
      <c r="T65" s="111"/>
      <c r="U65" s="111"/>
      <c r="AA65" s="240"/>
    </row>
    <row r="66" spans="4:27" s="79" customFormat="1">
      <c r="D66" s="108"/>
      <c r="E66" s="144"/>
      <c r="L66" s="171"/>
      <c r="M66" s="172"/>
      <c r="N66" s="172"/>
      <c r="O66" s="111"/>
      <c r="P66" s="111"/>
      <c r="Q66" s="145"/>
      <c r="R66" s="111"/>
      <c r="S66" s="111"/>
      <c r="T66" s="111"/>
      <c r="U66" s="111"/>
      <c r="AA66" s="240"/>
    </row>
    <row r="67" spans="4:27" s="79" customFormat="1">
      <c r="D67" s="108"/>
      <c r="E67" s="144"/>
      <c r="L67" s="171"/>
      <c r="M67" s="172"/>
      <c r="N67" s="172"/>
      <c r="O67" s="111"/>
      <c r="P67" s="111"/>
      <c r="Q67" s="145"/>
      <c r="R67" s="111"/>
      <c r="S67" s="111"/>
      <c r="T67" s="111"/>
      <c r="U67" s="111"/>
      <c r="AA67" s="240"/>
    </row>
    <row r="68" spans="4:27" s="79" customFormat="1">
      <c r="D68" s="108"/>
      <c r="E68" s="144"/>
      <c r="L68" s="171"/>
      <c r="M68" s="172"/>
      <c r="N68" s="172"/>
      <c r="O68" s="111"/>
      <c r="P68" s="111"/>
      <c r="Q68" s="145"/>
      <c r="R68" s="111"/>
      <c r="S68" s="111"/>
      <c r="T68" s="111"/>
      <c r="U68" s="111"/>
      <c r="AA68" s="240"/>
    </row>
    <row r="69" spans="4:27" s="79" customFormat="1">
      <c r="D69" s="108"/>
      <c r="E69" s="144"/>
      <c r="L69" s="171"/>
      <c r="M69" s="172"/>
      <c r="N69" s="172"/>
      <c r="O69" s="111"/>
      <c r="P69" s="111"/>
      <c r="Q69" s="145"/>
      <c r="R69" s="111"/>
      <c r="S69" s="111"/>
      <c r="T69" s="111"/>
      <c r="U69" s="111"/>
      <c r="AA69" s="240"/>
    </row>
    <row r="70" spans="4:27" s="79" customFormat="1">
      <c r="D70" s="108"/>
      <c r="E70" s="144"/>
      <c r="L70" s="171"/>
      <c r="M70" s="172"/>
      <c r="N70" s="172"/>
      <c r="O70" s="111"/>
      <c r="P70" s="111"/>
      <c r="Q70" s="145"/>
      <c r="R70" s="111"/>
      <c r="S70" s="111"/>
      <c r="T70" s="111"/>
      <c r="U70" s="111"/>
      <c r="AA70" s="240"/>
    </row>
    <row r="71" spans="4:27" s="79" customFormat="1">
      <c r="D71" s="108"/>
      <c r="E71" s="144"/>
      <c r="L71" s="171"/>
      <c r="M71" s="172"/>
      <c r="N71" s="172"/>
      <c r="O71" s="111"/>
      <c r="P71" s="111"/>
      <c r="Q71" s="145"/>
      <c r="R71" s="111"/>
      <c r="S71" s="111"/>
      <c r="T71" s="111"/>
      <c r="U71" s="111"/>
      <c r="AA71" s="240"/>
    </row>
  </sheetData>
  <mergeCells count="65">
    <mergeCell ref="AB16:AB19"/>
    <mergeCell ref="AC16:AK18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Q16:Q19"/>
    <mergeCell ref="R16:Z18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Q11:Q12"/>
    <mergeCell ref="R11:R12"/>
    <mergeCell ref="S11:S12"/>
    <mergeCell ref="T11:T12"/>
    <mergeCell ref="Z11:Z12"/>
    <mergeCell ref="U11:U12"/>
    <mergeCell ref="V11:V12"/>
    <mergeCell ref="W11:W12"/>
    <mergeCell ref="X11:X12"/>
    <mergeCell ref="Y11:Y12"/>
    <mergeCell ref="Q1:Q4"/>
    <mergeCell ref="P1:P4"/>
    <mergeCell ref="AA1:AA1048576"/>
    <mergeCell ref="AC1:AK3"/>
    <mergeCell ref="R1:Z3"/>
    <mergeCell ref="AC11:AC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B1:AB4"/>
    <mergeCell ref="AB11:AB12"/>
    <mergeCell ref="O1:O4"/>
    <mergeCell ref="M1:N2"/>
    <mergeCell ref="K18:K34"/>
    <mergeCell ref="C18:C26"/>
    <mergeCell ref="D18:D34"/>
    <mergeCell ref="E18:E34"/>
    <mergeCell ref="J18:J34"/>
    <mergeCell ref="A1:E2"/>
    <mergeCell ref="A9:E11"/>
    <mergeCell ref="A3:E3"/>
    <mergeCell ref="A16:E16"/>
    <mergeCell ref="G9:K11"/>
    <mergeCell ref="G16:K16"/>
    <mergeCell ref="G3:K3"/>
    <mergeCell ref="G1:K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1"/>
  <sheetViews>
    <sheetView topLeftCell="I25" zoomScale="80" zoomScaleNormal="80" workbookViewId="0">
      <selection activeCell="J45" sqref="J45:S45"/>
    </sheetView>
  </sheetViews>
  <sheetFormatPr defaultRowHeight="15"/>
  <cols>
    <col min="1" max="1" width="17.28515625" bestFit="1" customWidth="1"/>
    <col min="2" max="3" width="17.28515625" customWidth="1"/>
    <col min="4" max="4" width="18.7109375" style="106" customWidth="1"/>
    <col min="5" max="5" width="18.7109375" style="98" customWidth="1"/>
    <col min="6" max="6" width="4.5703125" style="107" customWidth="1"/>
    <col min="7" max="7" width="4.28515625" style="171" customWidth="1"/>
    <col min="8" max="8" width="17.140625" style="188" bestFit="1" customWidth="1"/>
    <col min="9" max="9" width="48.85546875" style="118" bestFit="1" customWidth="1"/>
    <col min="10" max="10" width="20" style="115" bestFit="1" customWidth="1"/>
    <col min="11" max="11" width="16.85546875" style="115" bestFit="1" customWidth="1"/>
    <col min="12" max="12" width="17.7109375" style="115" bestFit="1" customWidth="1"/>
    <col min="13" max="13" width="17.28515625" style="117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20.28515625" customWidth="1"/>
    <col min="19" max="19" width="17.28515625" bestFit="1" customWidth="1"/>
    <col min="20" max="20" width="4.28515625" style="240" customWidth="1"/>
    <col min="21" max="21" width="46" style="25" customWidth="1"/>
    <col min="22" max="22" width="16.140625" style="25" bestFit="1" customWidth="1"/>
    <col min="23" max="24" width="12.140625" style="25" bestFit="1" customWidth="1"/>
    <col min="25" max="25" width="12.85546875" style="25" bestFit="1" customWidth="1"/>
    <col min="26" max="26" width="14.28515625" style="25" bestFit="1" customWidth="1"/>
    <col min="27" max="27" width="15" style="25" bestFit="1" customWidth="1"/>
    <col min="28" max="28" width="14.28515625" style="25" bestFit="1" customWidth="1"/>
    <col min="29" max="29" width="17.42578125" style="25" customWidth="1"/>
    <col min="30" max="30" width="14.28515625" style="25" bestFit="1" customWidth="1"/>
  </cols>
  <sheetData>
    <row r="1" spans="1:30" s="146" customFormat="1" ht="15" customHeight="1">
      <c r="A1" s="227">
        <v>40</v>
      </c>
      <c r="B1" s="227"/>
      <c r="C1" s="227"/>
      <c r="D1" s="227"/>
      <c r="E1" s="227"/>
      <c r="G1" s="171"/>
      <c r="H1" s="187"/>
      <c r="I1" s="228"/>
      <c r="J1" s="231"/>
      <c r="K1" s="232"/>
      <c r="L1" s="232"/>
      <c r="M1" s="232"/>
      <c r="N1" s="232"/>
      <c r="O1" s="232"/>
      <c r="P1" s="232"/>
      <c r="Q1" s="232"/>
      <c r="R1" s="232"/>
      <c r="S1" s="233"/>
      <c r="T1" s="240"/>
      <c r="U1" s="28"/>
      <c r="V1" s="203"/>
      <c r="W1" s="203"/>
      <c r="X1" s="203"/>
      <c r="Y1" s="203"/>
      <c r="Z1" s="203"/>
      <c r="AA1" s="203"/>
      <c r="AB1" s="203"/>
      <c r="AC1" s="203"/>
      <c r="AD1" s="203"/>
    </row>
    <row r="2" spans="1:30" s="146" customFormat="1" ht="15" customHeight="1">
      <c r="A2" s="227"/>
      <c r="B2" s="227"/>
      <c r="C2" s="227"/>
      <c r="D2" s="227"/>
      <c r="E2" s="227"/>
      <c r="G2" s="171"/>
      <c r="H2" s="187"/>
      <c r="I2" s="229"/>
      <c r="J2" s="234"/>
      <c r="K2" s="235"/>
      <c r="L2" s="235"/>
      <c r="M2" s="235"/>
      <c r="N2" s="235"/>
      <c r="O2" s="235"/>
      <c r="P2" s="235"/>
      <c r="Q2" s="235"/>
      <c r="R2" s="235"/>
      <c r="S2" s="236"/>
      <c r="T2" s="240"/>
      <c r="U2" s="28"/>
      <c r="V2" s="203"/>
      <c r="W2" s="203"/>
      <c r="X2" s="203"/>
      <c r="Y2" s="203"/>
      <c r="Z2" s="203"/>
      <c r="AA2" s="203"/>
      <c r="AB2" s="203"/>
      <c r="AC2" s="203"/>
      <c r="AD2" s="203"/>
    </row>
    <row r="3" spans="1:30" s="79" customFormat="1" ht="26.25" customHeight="1">
      <c r="A3" s="241" t="s">
        <v>5</v>
      </c>
      <c r="B3" s="241"/>
      <c r="C3" s="241"/>
      <c r="D3" s="241"/>
      <c r="E3" s="241"/>
      <c r="G3" s="171"/>
      <c r="H3" s="187"/>
      <c r="I3" s="229"/>
      <c r="J3" s="237"/>
      <c r="K3" s="238"/>
      <c r="L3" s="238"/>
      <c r="M3" s="238"/>
      <c r="N3" s="238"/>
      <c r="O3" s="238"/>
      <c r="P3" s="238"/>
      <c r="Q3" s="238"/>
      <c r="R3" s="238"/>
      <c r="S3" s="239"/>
      <c r="T3" s="240"/>
      <c r="U3" s="28"/>
      <c r="V3" s="203"/>
      <c r="W3" s="203"/>
      <c r="X3" s="203"/>
      <c r="Y3" s="203"/>
      <c r="Z3" s="203"/>
      <c r="AA3" s="203"/>
      <c r="AB3" s="203"/>
      <c r="AC3" s="203"/>
      <c r="AD3" s="203"/>
    </row>
    <row r="4" spans="1:30" ht="45">
      <c r="A4" s="52" t="s">
        <v>6</v>
      </c>
      <c r="B4" s="52"/>
      <c r="C4" s="52"/>
      <c r="D4" s="130" t="s">
        <v>52</v>
      </c>
      <c r="E4" s="131" t="s">
        <v>10</v>
      </c>
      <c r="H4" s="187"/>
      <c r="I4" s="230"/>
      <c r="J4" s="120" t="s">
        <v>12</v>
      </c>
      <c r="K4" s="121" t="s">
        <v>13</v>
      </c>
      <c r="L4" s="122" t="s">
        <v>14</v>
      </c>
      <c r="M4" s="120" t="s">
        <v>15</v>
      </c>
      <c r="N4" s="120" t="s">
        <v>16</v>
      </c>
      <c r="O4" s="120" t="s">
        <v>17</v>
      </c>
      <c r="P4" s="120" t="s">
        <v>18</v>
      </c>
      <c r="Q4" s="120" t="s">
        <v>19</v>
      </c>
      <c r="R4" s="120" t="s">
        <v>83</v>
      </c>
      <c r="S4" s="120" t="s">
        <v>20</v>
      </c>
      <c r="U4" s="28"/>
      <c r="V4" s="189"/>
      <c r="W4" s="190"/>
      <c r="X4" s="191"/>
      <c r="Y4" s="189"/>
      <c r="Z4" s="189"/>
      <c r="AA4" s="189"/>
      <c r="AB4" s="189"/>
      <c r="AC4" s="189"/>
      <c r="AD4" s="189"/>
    </row>
    <row r="5" spans="1:30">
      <c r="A5" s="48" t="s">
        <v>21</v>
      </c>
      <c r="B5" s="48"/>
      <c r="C5" s="48"/>
      <c r="D5" s="176">
        <v>3</v>
      </c>
      <c r="E5" s="129">
        <f>(D5/$A$1)</f>
        <v>7.4999999999999997E-2</v>
      </c>
      <c r="H5" s="112"/>
      <c r="I5" s="185" t="s">
        <v>22</v>
      </c>
      <c r="J5" s="124">
        <v>1507</v>
      </c>
      <c r="K5" s="125">
        <v>1507</v>
      </c>
      <c r="L5" s="126">
        <v>1507</v>
      </c>
      <c r="M5" s="152">
        <v>1507</v>
      </c>
      <c r="N5" s="176">
        <v>1507</v>
      </c>
      <c r="O5" s="176">
        <v>1507</v>
      </c>
      <c r="P5" s="176">
        <v>1507</v>
      </c>
      <c r="Q5" s="176">
        <v>1507</v>
      </c>
      <c r="R5" s="211">
        <v>1507</v>
      </c>
      <c r="S5" s="176">
        <v>1507</v>
      </c>
      <c r="U5" s="192"/>
      <c r="V5" s="193"/>
      <c r="W5" s="193"/>
      <c r="X5" s="193"/>
      <c r="Y5" s="193"/>
      <c r="Z5" s="193"/>
      <c r="AA5" s="193"/>
      <c r="AB5" s="193"/>
      <c r="AC5" s="193"/>
      <c r="AD5" s="193"/>
    </row>
    <row r="6" spans="1:30">
      <c r="A6" s="48" t="s">
        <v>23</v>
      </c>
      <c r="B6" s="48"/>
      <c r="C6" s="48"/>
      <c r="D6" s="176">
        <v>3</v>
      </c>
      <c r="E6" s="129">
        <f t="shared" ref="E6:E8" si="0">(D6/$A$1)</f>
        <v>7.4999999999999997E-2</v>
      </c>
      <c r="H6" s="112"/>
      <c r="I6" s="185" t="s">
        <v>24</v>
      </c>
      <c r="J6" s="127">
        <v>0.08</v>
      </c>
      <c r="K6" s="127">
        <v>0.25800000000000001</v>
      </c>
      <c r="L6" s="127">
        <v>8.1000000000000003E-2</v>
      </c>
      <c r="M6" s="127">
        <v>0.29299999999999998</v>
      </c>
      <c r="N6" s="127">
        <v>0.10299999999999999</v>
      </c>
      <c r="O6" s="127">
        <v>0.28000000000000003</v>
      </c>
      <c r="P6" s="127">
        <v>0.38</v>
      </c>
      <c r="Q6" s="127">
        <v>0.16700000000000001</v>
      </c>
      <c r="R6" s="127">
        <v>8.0199999999999994E-2</v>
      </c>
      <c r="S6" s="127">
        <v>1</v>
      </c>
      <c r="U6" s="192"/>
      <c r="V6" s="194"/>
      <c r="W6" s="194"/>
      <c r="X6" s="194"/>
      <c r="Y6" s="194"/>
      <c r="Z6" s="194"/>
      <c r="AA6" s="194"/>
      <c r="AB6" s="194"/>
      <c r="AC6" s="194"/>
      <c r="AD6" s="194"/>
    </row>
    <row r="7" spans="1:30">
      <c r="A7" s="48" t="s">
        <v>25</v>
      </c>
      <c r="B7" s="48"/>
      <c r="C7" s="48"/>
      <c r="D7" s="176">
        <v>5</v>
      </c>
      <c r="E7" s="129">
        <f t="shared" si="0"/>
        <v>0.125</v>
      </c>
      <c r="H7" s="112"/>
      <c r="I7" s="185" t="s">
        <v>26</v>
      </c>
      <c r="J7" s="128">
        <v>0.8</v>
      </c>
      <c r="K7" s="128">
        <v>0.5</v>
      </c>
      <c r="L7" s="128">
        <v>0.49</v>
      </c>
      <c r="M7" s="128">
        <v>0.45</v>
      </c>
      <c r="N7" s="128">
        <v>0.15</v>
      </c>
      <c r="O7" s="128">
        <v>0.45</v>
      </c>
      <c r="P7" s="128">
        <v>0.5</v>
      </c>
      <c r="Q7" s="128">
        <v>1</v>
      </c>
      <c r="R7" s="128">
        <v>1</v>
      </c>
      <c r="S7" s="128">
        <v>0.22</v>
      </c>
      <c r="U7" s="192"/>
      <c r="V7" s="194"/>
      <c r="W7" s="194"/>
      <c r="X7" s="194"/>
      <c r="Y7" s="194"/>
      <c r="Z7" s="194"/>
      <c r="AA7" s="194"/>
      <c r="AB7" s="194"/>
      <c r="AC7" s="194"/>
      <c r="AD7" s="194"/>
    </row>
    <row r="8" spans="1:30" ht="30">
      <c r="A8" s="48" t="s">
        <v>15</v>
      </c>
      <c r="B8" s="48"/>
      <c r="C8" s="48"/>
      <c r="D8" s="176">
        <v>5</v>
      </c>
      <c r="E8" s="129">
        <f t="shared" si="0"/>
        <v>0.125</v>
      </c>
      <c r="H8" s="112"/>
      <c r="I8" s="185" t="s">
        <v>27</v>
      </c>
      <c r="J8" s="129">
        <f>E5</f>
        <v>7.4999999999999997E-2</v>
      </c>
      <c r="K8" s="129">
        <f>E6</f>
        <v>7.4999999999999997E-2</v>
      </c>
      <c r="L8" s="129">
        <f>E7</f>
        <v>0.125</v>
      </c>
      <c r="M8" s="129">
        <f>E8</f>
        <v>0.125</v>
      </c>
      <c r="N8" s="153">
        <f>E12</f>
        <v>0.05</v>
      </c>
      <c r="O8" s="153">
        <f>E13</f>
        <v>0.125</v>
      </c>
      <c r="P8" s="153">
        <f>E14</f>
        <v>0.05</v>
      </c>
      <c r="Q8" s="153">
        <f>E15</f>
        <v>0.25</v>
      </c>
      <c r="R8" s="153">
        <f>E18</f>
        <v>0.05</v>
      </c>
      <c r="S8" s="153">
        <f>E17</f>
        <v>0.27500000000000002</v>
      </c>
      <c r="U8" s="192"/>
      <c r="V8" s="195"/>
      <c r="W8" s="195"/>
      <c r="X8" s="195"/>
      <c r="Y8" s="195"/>
      <c r="Z8" s="195"/>
      <c r="AA8" s="195"/>
      <c r="AB8" s="195"/>
      <c r="AC8" s="195"/>
      <c r="AD8" s="195"/>
    </row>
    <row r="9" spans="1:30">
      <c r="A9" s="242" t="s">
        <v>28</v>
      </c>
      <c r="B9" s="242"/>
      <c r="C9" s="242"/>
      <c r="D9" s="242"/>
      <c r="E9" s="242"/>
      <c r="I9" s="185" t="s">
        <v>29</v>
      </c>
      <c r="J9" s="164">
        <f t="shared" ref="J9:S9" si="1">J5*J6*J7*J8</f>
        <v>7.2336</v>
      </c>
      <c r="K9" s="164">
        <f t="shared" si="1"/>
        <v>14.580224999999999</v>
      </c>
      <c r="L9" s="165">
        <f t="shared" si="1"/>
        <v>7.4766037500000007</v>
      </c>
      <c r="M9" s="166">
        <f t="shared" si="1"/>
        <v>24.837243749999999</v>
      </c>
      <c r="N9" s="164">
        <f t="shared" si="1"/>
        <v>1.1641575</v>
      </c>
      <c r="O9" s="164">
        <f t="shared" si="1"/>
        <v>23.735250000000004</v>
      </c>
      <c r="P9" s="164">
        <f t="shared" si="1"/>
        <v>14.3165</v>
      </c>
      <c r="Q9" s="164">
        <f t="shared" si="1"/>
        <v>62.917250000000003</v>
      </c>
      <c r="R9" s="164">
        <f>R5*R6*R7*R8</f>
        <v>6.0430700000000002</v>
      </c>
      <c r="S9" s="164">
        <f t="shared" si="1"/>
        <v>91.173500000000018</v>
      </c>
      <c r="U9" s="192"/>
      <c r="V9" s="196"/>
      <c r="W9" s="196"/>
      <c r="X9" s="197"/>
      <c r="Y9" s="196"/>
      <c r="Z9" s="196"/>
      <c r="AA9" s="196"/>
      <c r="AB9" s="196"/>
      <c r="AC9" s="196"/>
      <c r="AD9" s="196"/>
    </row>
    <row r="10" spans="1:30">
      <c r="A10" s="242"/>
      <c r="B10" s="242"/>
      <c r="C10" s="242"/>
      <c r="D10" s="242"/>
      <c r="E10" s="242"/>
      <c r="I10" s="185" t="s">
        <v>30</v>
      </c>
      <c r="J10" s="154">
        <f>'Colorectal Benefit'!$F$16</f>
        <v>14907.514737603546</v>
      </c>
      <c r="K10" s="154">
        <f>'Heart Disease Benefit'!$G$16</f>
        <v>5481.0227042652114</v>
      </c>
      <c r="L10" s="154">
        <f>'Stroke Benefits'!$G$18</f>
        <v>21263.67263011451</v>
      </c>
      <c r="M10" s="154">
        <f>'Hypertension Benefit'!$G$29</f>
        <v>1418.8495275985588</v>
      </c>
      <c r="N10" s="154">
        <f>osteoporosis!$C$35</f>
        <v>139409.29282534606</v>
      </c>
      <c r="O10" s="154">
        <f>'Type 2 Diabeties'!$C$31</f>
        <v>88685.105192324641</v>
      </c>
      <c r="P10" s="154">
        <f>Obesity!$C$45</f>
        <v>42711.261846771878</v>
      </c>
      <c r="Q10" s="154">
        <f>FIGURES!$F$14</f>
        <v>42402.559854710737</v>
      </c>
      <c r="R10" s="154">
        <f>FIGURES!$F$17</f>
        <v>21799.185582999999</v>
      </c>
      <c r="S10" s="154">
        <f>'Data &amp; PV'!$G$12</f>
        <v>2539.229198</v>
      </c>
      <c r="U10" s="192"/>
      <c r="V10" s="198"/>
      <c r="W10" s="198"/>
      <c r="X10" s="198"/>
      <c r="Y10" s="198"/>
      <c r="Z10" s="198"/>
      <c r="AA10" s="198"/>
      <c r="AB10" s="198"/>
      <c r="AC10" s="198"/>
      <c r="AD10" s="198"/>
    </row>
    <row r="11" spans="1:30">
      <c r="A11" s="242"/>
      <c r="B11" s="242"/>
      <c r="C11" s="242"/>
      <c r="D11" s="242"/>
      <c r="E11" s="242"/>
      <c r="I11" s="256" t="s">
        <v>31</v>
      </c>
      <c r="J11" s="243">
        <f t="shared" ref="J11:S11" si="2">J9*J10</f>
        <v>107834.99860592901</v>
      </c>
      <c r="K11" s="243">
        <f t="shared" si="2"/>
        <v>79914.544258295238</v>
      </c>
      <c r="L11" s="245">
        <f t="shared" si="2"/>
        <v>158980.05452508651</v>
      </c>
      <c r="M11" s="247">
        <f t="shared" si="2"/>
        <v>35240.311561537754</v>
      </c>
      <c r="N11" s="243">
        <f t="shared" si="2"/>
        <v>162294.3738123228</v>
      </c>
      <c r="O11" s="243">
        <f t="shared" si="2"/>
        <v>2104963.1430161237</v>
      </c>
      <c r="P11" s="243">
        <f t="shared" si="2"/>
        <v>611475.78022930957</v>
      </c>
      <c r="Q11" s="243">
        <f t="shared" si="2"/>
        <v>2667852.459018799</v>
      </c>
      <c r="R11" s="225">
        <f>R9*R10</f>
        <v>131734.0044210598</v>
      </c>
      <c r="S11" s="243">
        <f t="shared" si="2"/>
        <v>231510.41328385303</v>
      </c>
      <c r="U11" s="28"/>
      <c r="V11" s="201"/>
      <c r="W11" s="201"/>
      <c r="X11" s="201"/>
      <c r="Y11" s="201"/>
      <c r="Z11" s="201"/>
      <c r="AA11" s="201"/>
      <c r="AB11" s="201"/>
      <c r="AC11" s="201"/>
      <c r="AD11" s="201"/>
    </row>
    <row r="12" spans="1:30">
      <c r="A12" s="48" t="s">
        <v>16</v>
      </c>
      <c r="B12" s="48"/>
      <c r="C12" s="48"/>
      <c r="D12" s="176">
        <v>2</v>
      </c>
      <c r="E12" s="129">
        <f>(D12/$A$1)</f>
        <v>0.05</v>
      </c>
      <c r="H12" s="112"/>
      <c r="I12" s="256"/>
      <c r="J12" s="244"/>
      <c r="K12" s="244"/>
      <c r="L12" s="246"/>
      <c r="M12" s="248"/>
      <c r="N12" s="242"/>
      <c r="O12" s="242"/>
      <c r="P12" s="242"/>
      <c r="Q12" s="242"/>
      <c r="R12" s="226"/>
      <c r="S12" s="242"/>
      <c r="U12" s="28"/>
      <c r="V12" s="202"/>
      <c r="W12" s="202"/>
      <c r="X12" s="202"/>
      <c r="Y12" s="202"/>
      <c r="Z12" s="202"/>
      <c r="AA12" s="202"/>
      <c r="AB12" s="202"/>
      <c r="AC12" s="202"/>
      <c r="AD12" s="202"/>
    </row>
    <row r="13" spans="1:30" s="135" customFormat="1">
      <c r="A13" s="48" t="s">
        <v>32</v>
      </c>
      <c r="B13" s="48"/>
      <c r="C13" s="48"/>
      <c r="D13" s="176">
        <v>5</v>
      </c>
      <c r="E13" s="129">
        <f t="shared" ref="E13:E15" si="3">(D13/$A$1)</f>
        <v>0.125</v>
      </c>
      <c r="F13" s="134"/>
      <c r="G13" s="171"/>
      <c r="H13" s="112"/>
      <c r="I13" s="186" t="s">
        <v>33</v>
      </c>
      <c r="J13" s="155">
        <f>SUM(J11:S12)</f>
        <v>6291800.082732317</v>
      </c>
      <c r="K13" s="155"/>
      <c r="L13" s="155"/>
      <c r="M13" s="155"/>
      <c r="N13" s="155"/>
      <c r="O13" s="155"/>
      <c r="P13" s="155"/>
      <c r="Q13" s="155"/>
      <c r="R13" s="155"/>
      <c r="S13" s="174"/>
      <c r="T13" s="240"/>
      <c r="U13" s="189"/>
      <c r="V13" s="199"/>
      <c r="W13" s="199"/>
      <c r="X13" s="199"/>
      <c r="Y13" s="199"/>
      <c r="Z13" s="199"/>
      <c r="AA13" s="199"/>
      <c r="AB13" s="199"/>
      <c r="AC13" s="199"/>
      <c r="AD13" s="199"/>
    </row>
    <row r="14" spans="1:30">
      <c r="A14" s="48" t="s">
        <v>18</v>
      </c>
      <c r="B14" s="48"/>
      <c r="C14" s="48"/>
      <c r="D14" s="176">
        <v>2</v>
      </c>
      <c r="E14" s="129">
        <f t="shared" si="3"/>
        <v>0.05</v>
      </c>
      <c r="H14" s="112"/>
      <c r="I14" s="116"/>
      <c r="J14" s="112"/>
      <c r="K14" s="113"/>
      <c r="L14" s="114"/>
      <c r="M14" s="111"/>
    </row>
    <row r="15" spans="1:30">
      <c r="A15" s="48" t="s">
        <v>34</v>
      </c>
      <c r="B15" s="48"/>
      <c r="C15" s="48"/>
      <c r="D15" s="176">
        <v>10</v>
      </c>
      <c r="E15" s="129">
        <f t="shared" si="3"/>
        <v>0.25</v>
      </c>
      <c r="H15" s="112"/>
      <c r="I15" s="116"/>
      <c r="J15" s="112"/>
      <c r="K15" s="113"/>
      <c r="L15" s="114"/>
      <c r="M15" s="111"/>
      <c r="N15" s="79"/>
    </row>
    <row r="16" spans="1:30" ht="22.5" customHeight="1">
      <c r="A16" s="249" t="s">
        <v>35</v>
      </c>
      <c r="B16" s="249"/>
      <c r="C16" s="249"/>
      <c r="D16" s="249"/>
      <c r="E16" s="249"/>
      <c r="I16" s="228"/>
      <c r="J16" s="231"/>
      <c r="K16" s="232"/>
      <c r="L16" s="232"/>
      <c r="M16" s="232"/>
      <c r="N16" s="232"/>
      <c r="O16" s="232"/>
      <c r="P16" s="232"/>
      <c r="Q16" s="232"/>
      <c r="R16" s="232"/>
      <c r="S16" s="233"/>
      <c r="U16" s="28"/>
      <c r="V16" s="203"/>
      <c r="W16" s="203"/>
      <c r="X16" s="203"/>
      <c r="Y16" s="203"/>
      <c r="Z16" s="203"/>
      <c r="AA16" s="203"/>
      <c r="AB16" s="203"/>
      <c r="AC16" s="203"/>
      <c r="AD16" s="203"/>
    </row>
    <row r="17" spans="1:30" ht="15" customHeight="1">
      <c r="A17" s="48" t="s">
        <v>20</v>
      </c>
      <c r="B17" s="48">
        <v>12</v>
      </c>
      <c r="C17" s="48">
        <v>17</v>
      </c>
      <c r="D17" s="176">
        <v>11</v>
      </c>
      <c r="E17" s="129">
        <f>(D17/$A$1)</f>
        <v>0.27500000000000002</v>
      </c>
      <c r="H17" s="112"/>
      <c r="I17" s="229"/>
      <c r="J17" s="234"/>
      <c r="K17" s="235"/>
      <c r="L17" s="235"/>
      <c r="M17" s="235"/>
      <c r="N17" s="235"/>
      <c r="O17" s="235"/>
      <c r="P17" s="235"/>
      <c r="Q17" s="235"/>
      <c r="R17" s="235"/>
      <c r="S17" s="236"/>
      <c r="U17" s="28"/>
      <c r="V17" s="203"/>
      <c r="W17" s="203"/>
      <c r="X17" s="203"/>
      <c r="Y17" s="203"/>
      <c r="Z17" s="203"/>
      <c r="AA17" s="203"/>
      <c r="AB17" s="203"/>
      <c r="AC17" s="203"/>
      <c r="AD17" s="203"/>
    </row>
    <row r="18" spans="1:30" s="79" customFormat="1" ht="15" customHeight="1">
      <c r="A18" s="173"/>
      <c r="B18" s="173"/>
      <c r="C18" s="219"/>
      <c r="D18" s="221">
        <v>2</v>
      </c>
      <c r="E18" s="222">
        <f>(D18/$A$1)</f>
        <v>0.05</v>
      </c>
      <c r="G18" s="171"/>
      <c r="H18" s="188"/>
      <c r="I18" s="229"/>
      <c r="J18" s="237"/>
      <c r="K18" s="238"/>
      <c r="L18" s="238"/>
      <c r="M18" s="238"/>
      <c r="N18" s="238"/>
      <c r="O18" s="238"/>
      <c r="P18" s="238"/>
      <c r="Q18" s="238"/>
      <c r="R18" s="238"/>
      <c r="S18" s="239"/>
      <c r="T18" s="240"/>
      <c r="U18" s="28"/>
      <c r="V18" s="203"/>
      <c r="W18" s="203"/>
      <c r="X18" s="203"/>
      <c r="Y18" s="203"/>
      <c r="Z18" s="203"/>
      <c r="AA18" s="203"/>
      <c r="AB18" s="203"/>
      <c r="AC18" s="203"/>
      <c r="AD18" s="203"/>
    </row>
    <row r="19" spans="1:30" s="79" customFormat="1" ht="30" customHeight="1">
      <c r="C19" s="220"/>
      <c r="G19" s="171"/>
      <c r="H19" s="188"/>
      <c r="I19" s="230"/>
      <c r="J19" s="120" t="s">
        <v>12</v>
      </c>
      <c r="K19" s="121" t="s">
        <v>13</v>
      </c>
      <c r="L19" s="122" t="s">
        <v>14</v>
      </c>
      <c r="M19" s="120" t="s">
        <v>15</v>
      </c>
      <c r="N19" s="120" t="s">
        <v>16</v>
      </c>
      <c r="O19" s="120" t="s">
        <v>17</v>
      </c>
      <c r="P19" s="120" t="s">
        <v>18</v>
      </c>
      <c r="Q19" s="120" t="s">
        <v>19</v>
      </c>
      <c r="R19" s="120"/>
      <c r="S19" s="120" t="s">
        <v>20</v>
      </c>
      <c r="T19" s="240"/>
      <c r="U19" s="28"/>
      <c r="V19" s="189"/>
      <c r="W19" s="190"/>
      <c r="X19" s="191"/>
      <c r="Y19" s="189"/>
      <c r="Z19" s="189"/>
      <c r="AA19" s="189"/>
      <c r="AB19" s="189"/>
      <c r="AC19" s="189"/>
      <c r="AD19" s="189"/>
    </row>
    <row r="20" spans="1:30" s="79" customFormat="1" ht="30" customHeight="1">
      <c r="C20" s="220"/>
      <c r="G20" s="171"/>
      <c r="H20" s="188"/>
      <c r="I20" s="185" t="s">
        <v>22</v>
      </c>
      <c r="J20" s="124">
        <v>1507</v>
      </c>
      <c r="K20" s="125">
        <v>1507</v>
      </c>
      <c r="L20" s="126">
        <v>1507</v>
      </c>
      <c r="M20" s="152">
        <v>1507</v>
      </c>
      <c r="N20" s="183">
        <v>1507</v>
      </c>
      <c r="O20" s="183">
        <v>1507</v>
      </c>
      <c r="P20" s="183">
        <v>1507</v>
      </c>
      <c r="Q20" s="183">
        <v>1507</v>
      </c>
      <c r="R20" s="211"/>
      <c r="S20" s="183">
        <v>1507</v>
      </c>
      <c r="T20" s="240"/>
      <c r="U20" s="192"/>
      <c r="V20" s="193"/>
      <c r="W20" s="193"/>
      <c r="X20" s="193"/>
      <c r="Y20" s="193"/>
      <c r="Z20" s="193"/>
      <c r="AA20" s="193"/>
      <c r="AB20" s="193"/>
      <c r="AC20" s="193"/>
      <c r="AD20" s="193"/>
    </row>
    <row r="21" spans="1:30" s="79" customFormat="1" ht="30" customHeight="1">
      <c r="C21" s="220"/>
      <c r="G21" s="171"/>
      <c r="H21" s="188"/>
      <c r="I21" s="185" t="s">
        <v>24</v>
      </c>
      <c r="J21" s="127">
        <v>0.08</v>
      </c>
      <c r="K21" s="127">
        <v>0.25800000000000001</v>
      </c>
      <c r="L21" s="127">
        <v>8.1000000000000003E-2</v>
      </c>
      <c r="M21" s="127">
        <v>0.29299999999999998</v>
      </c>
      <c r="N21" s="127">
        <v>0.10299999999999999</v>
      </c>
      <c r="O21" s="127">
        <v>0.28000000000000003</v>
      </c>
      <c r="P21" s="127">
        <v>0.38</v>
      </c>
      <c r="Q21" s="127">
        <v>0.16700000000000001</v>
      </c>
      <c r="R21" s="127"/>
      <c r="S21" s="127">
        <v>1</v>
      </c>
      <c r="T21" s="240"/>
      <c r="U21" s="192"/>
      <c r="V21" s="194"/>
      <c r="W21" s="194"/>
      <c r="X21" s="194"/>
      <c r="Y21" s="194"/>
      <c r="Z21" s="194"/>
      <c r="AA21" s="194"/>
      <c r="AB21" s="194"/>
      <c r="AC21" s="194"/>
      <c r="AD21" s="194"/>
    </row>
    <row r="22" spans="1:30" s="79" customFormat="1" ht="30" customHeight="1">
      <c r="C22" s="220"/>
      <c r="G22" s="171"/>
      <c r="H22" s="188"/>
      <c r="I22" s="185" t="s">
        <v>26</v>
      </c>
      <c r="J22" s="128">
        <v>0.8</v>
      </c>
      <c r="K22" s="128">
        <v>0.5</v>
      </c>
      <c r="L22" s="128">
        <v>0.49</v>
      </c>
      <c r="M22" s="128">
        <v>0.45</v>
      </c>
      <c r="N22" s="128">
        <v>0.15</v>
      </c>
      <c r="O22" s="128">
        <v>0.45</v>
      </c>
      <c r="P22" s="128">
        <v>0.5</v>
      </c>
      <c r="Q22" s="128">
        <v>1</v>
      </c>
      <c r="R22" s="128"/>
      <c r="S22" s="128">
        <v>0.22</v>
      </c>
      <c r="T22" s="240"/>
      <c r="U22" s="192"/>
      <c r="V22" s="194"/>
      <c r="W22" s="194"/>
      <c r="X22" s="194"/>
      <c r="Y22" s="194"/>
      <c r="Z22" s="194"/>
      <c r="AA22" s="194"/>
      <c r="AB22" s="194"/>
      <c r="AC22" s="194"/>
      <c r="AD22" s="194"/>
    </row>
    <row r="23" spans="1:30" s="79" customFormat="1" ht="30" customHeight="1">
      <c r="C23" s="220"/>
      <c r="G23" s="171"/>
      <c r="H23" s="188"/>
      <c r="I23" s="185" t="s">
        <v>27</v>
      </c>
      <c r="J23" s="129">
        <f t="shared" ref="J23:S24" si="4">J8</f>
        <v>7.4999999999999997E-2</v>
      </c>
      <c r="K23" s="129">
        <f t="shared" si="4"/>
        <v>7.4999999999999997E-2</v>
      </c>
      <c r="L23" s="129">
        <f t="shared" si="4"/>
        <v>0.125</v>
      </c>
      <c r="M23" s="129">
        <f t="shared" si="4"/>
        <v>0.125</v>
      </c>
      <c r="N23" s="153">
        <f t="shared" si="4"/>
        <v>0.05</v>
      </c>
      <c r="O23" s="153">
        <f t="shared" si="4"/>
        <v>0.125</v>
      </c>
      <c r="P23" s="153">
        <f t="shared" si="4"/>
        <v>0.05</v>
      </c>
      <c r="Q23" s="153">
        <f t="shared" si="4"/>
        <v>0.25</v>
      </c>
      <c r="R23" s="153"/>
      <c r="S23" s="153">
        <f t="shared" si="4"/>
        <v>0.27500000000000002</v>
      </c>
      <c r="T23" s="240"/>
      <c r="U23" s="192"/>
      <c r="V23" s="195"/>
      <c r="W23" s="195"/>
      <c r="X23" s="195"/>
      <c r="Y23" s="195"/>
      <c r="Z23" s="195"/>
      <c r="AA23" s="195"/>
      <c r="AB23" s="195"/>
      <c r="AC23" s="195"/>
      <c r="AD23" s="195"/>
    </row>
    <row r="24" spans="1:30" s="79" customFormat="1" ht="30" customHeight="1">
      <c r="C24" s="220"/>
      <c r="G24" s="171"/>
      <c r="H24" s="188"/>
      <c r="I24" s="185" t="s">
        <v>29</v>
      </c>
      <c r="J24" s="164">
        <f t="shared" si="4"/>
        <v>7.2336</v>
      </c>
      <c r="K24" s="164">
        <f t="shared" si="4"/>
        <v>14.580224999999999</v>
      </c>
      <c r="L24" s="165">
        <f t="shared" si="4"/>
        <v>7.4766037500000007</v>
      </c>
      <c r="M24" s="166">
        <f t="shared" si="4"/>
        <v>24.837243749999999</v>
      </c>
      <c r="N24" s="164">
        <f t="shared" si="4"/>
        <v>1.1641575</v>
      </c>
      <c r="O24" s="164">
        <f t="shared" si="4"/>
        <v>23.735250000000004</v>
      </c>
      <c r="P24" s="164">
        <f t="shared" si="4"/>
        <v>14.3165</v>
      </c>
      <c r="Q24" s="164">
        <f t="shared" si="4"/>
        <v>62.917250000000003</v>
      </c>
      <c r="R24" s="164"/>
      <c r="S24" s="164">
        <f t="shared" si="4"/>
        <v>91.173500000000018</v>
      </c>
      <c r="T24" s="240"/>
      <c r="U24" s="192"/>
      <c r="V24" s="196"/>
      <c r="W24" s="196"/>
      <c r="X24" s="197"/>
      <c r="Y24" s="196"/>
      <c r="Z24" s="196"/>
      <c r="AA24" s="196"/>
      <c r="AB24" s="196"/>
      <c r="AC24" s="196"/>
      <c r="AD24" s="196"/>
    </row>
    <row r="25" spans="1:30" s="79" customFormat="1" ht="30" customHeight="1">
      <c r="C25" s="220"/>
      <c r="G25" s="171"/>
      <c r="H25" s="188"/>
      <c r="I25" s="185" t="s">
        <v>39</v>
      </c>
      <c r="J25" s="155">
        <f>'Colorectal Benefit'!$R$15</f>
        <v>1242.5410750630153</v>
      </c>
      <c r="K25" s="155">
        <f>'Heart Disease Benefit'!$S$16</f>
        <v>1264.7556786428504</v>
      </c>
      <c r="L25" s="155">
        <f>'Stroke Benefits'!$U$18</f>
        <v>3487.8827485273468</v>
      </c>
      <c r="M25" s="155">
        <f>'Hypertension Benefit'!$S$29</f>
        <v>4090.6286200237264</v>
      </c>
      <c r="N25" s="155">
        <f>osteoporosis!$M$22</f>
        <v>3472.7206980956112</v>
      </c>
      <c r="O25" s="155">
        <f>'Type 2 Diabeties'!$Q$18</f>
        <v>3730.3402362679958</v>
      </c>
      <c r="P25" s="155">
        <f>Obesity!$N$32</f>
        <v>3529.7997763963713</v>
      </c>
      <c r="Q25" s="155">
        <f>FIGURES!$G$14</f>
        <v>1632.4774158057662</v>
      </c>
      <c r="R25" s="155"/>
      <c r="S25" s="174">
        <v>0</v>
      </c>
      <c r="T25" s="240"/>
      <c r="U25" s="192"/>
      <c r="V25" s="200"/>
      <c r="W25" s="200"/>
      <c r="X25" s="200"/>
      <c r="Y25" s="200"/>
      <c r="Z25" s="200"/>
      <c r="AA25" s="200"/>
      <c r="AB25" s="200"/>
      <c r="AC25" s="200"/>
      <c r="AD25" s="184"/>
    </row>
    <row r="26" spans="1:30" s="79" customFormat="1">
      <c r="C26" s="220"/>
      <c r="G26" s="171"/>
      <c r="H26" s="188"/>
      <c r="I26" s="256" t="s">
        <v>40</v>
      </c>
      <c r="J26" s="225">
        <f t="shared" ref="J26:S26" si="5">J24*J25</f>
        <v>8988.0451205758272</v>
      </c>
      <c r="K26" s="225">
        <f t="shared" si="5"/>
        <v>18440.422364640453</v>
      </c>
      <c r="L26" s="257">
        <f t="shared" si="5"/>
        <v>26077.517237199871</v>
      </c>
      <c r="M26" s="259">
        <f t="shared" si="5"/>
        <v>101599.94012625542</v>
      </c>
      <c r="N26" s="225">
        <f t="shared" si="5"/>
        <v>4042.7938460932414</v>
      </c>
      <c r="O26" s="225">
        <f t="shared" si="5"/>
        <v>88540.558092879961</v>
      </c>
      <c r="P26" s="225">
        <f t="shared" si="5"/>
        <v>50534.378498778649</v>
      </c>
      <c r="Q26" s="225">
        <f t="shared" si="5"/>
        <v>102710.98968960535</v>
      </c>
      <c r="R26" s="209"/>
      <c r="S26" s="225">
        <f t="shared" si="5"/>
        <v>0</v>
      </c>
      <c r="T26" s="240"/>
      <c r="U26" s="28"/>
      <c r="V26" s="201"/>
      <c r="W26" s="201"/>
      <c r="X26" s="201"/>
      <c r="Y26" s="201"/>
      <c r="Z26" s="201"/>
      <c r="AA26" s="201"/>
      <c r="AB26" s="201"/>
      <c r="AC26" s="201"/>
      <c r="AD26" s="201"/>
    </row>
    <row r="27" spans="1:30" s="79" customFormat="1">
      <c r="G27" s="171"/>
      <c r="H27" s="188"/>
      <c r="I27" s="256"/>
      <c r="J27" s="226"/>
      <c r="K27" s="226"/>
      <c r="L27" s="258"/>
      <c r="M27" s="260"/>
      <c r="N27" s="226"/>
      <c r="O27" s="226"/>
      <c r="P27" s="226"/>
      <c r="Q27" s="226"/>
      <c r="R27" s="210"/>
      <c r="S27" s="226"/>
      <c r="T27" s="240"/>
      <c r="U27" s="28"/>
      <c r="V27" s="202"/>
      <c r="W27" s="202"/>
      <c r="X27" s="202"/>
      <c r="Y27" s="202"/>
      <c r="Z27" s="202"/>
      <c r="AA27" s="202"/>
      <c r="AB27" s="202"/>
      <c r="AC27" s="202"/>
      <c r="AD27" s="202"/>
    </row>
    <row r="28" spans="1:30" s="79" customFormat="1">
      <c r="G28" s="171"/>
      <c r="H28" s="188"/>
      <c r="I28" s="186" t="s">
        <v>41</v>
      </c>
      <c r="J28" s="155">
        <f>SUM(J26:S27)</f>
        <v>400934.64497602877</v>
      </c>
      <c r="K28" s="155"/>
      <c r="L28" s="155"/>
      <c r="M28" s="155"/>
      <c r="N28" s="155"/>
      <c r="O28" s="155"/>
      <c r="P28" s="155"/>
      <c r="Q28" s="155"/>
      <c r="R28" s="155"/>
      <c r="S28" s="174"/>
      <c r="T28" s="240"/>
      <c r="U28" s="189"/>
      <c r="V28" s="199"/>
      <c r="W28" s="199"/>
      <c r="X28" s="199"/>
      <c r="Y28" s="199"/>
      <c r="Z28" s="199"/>
      <c r="AA28" s="199"/>
      <c r="AB28" s="199"/>
      <c r="AC28" s="199"/>
      <c r="AD28" s="199"/>
    </row>
    <row r="29" spans="1:30" s="79" customFormat="1">
      <c r="G29" s="171"/>
      <c r="H29" s="188"/>
      <c r="I29" s="145"/>
      <c r="J29" s="111"/>
      <c r="K29" s="111"/>
      <c r="L29" s="111"/>
      <c r="M29" s="111"/>
      <c r="T29" s="240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 s="79" customFormat="1">
      <c r="G30" s="171"/>
      <c r="H30" s="188"/>
      <c r="I30" s="145"/>
      <c r="J30" s="111"/>
      <c r="K30" s="111"/>
      <c r="L30" s="111"/>
      <c r="M30" s="111"/>
      <c r="T30" s="240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 s="79" customFormat="1">
      <c r="G31" s="171"/>
      <c r="H31" s="188"/>
      <c r="I31" s="145"/>
      <c r="J31" s="161">
        <f t="shared" ref="J31:S31" si="6">J11+J26</f>
        <v>116823.04372650484</v>
      </c>
      <c r="K31" s="161">
        <f t="shared" si="6"/>
        <v>98354.966622935695</v>
      </c>
      <c r="L31" s="161">
        <f t="shared" si="6"/>
        <v>185057.57176228639</v>
      </c>
      <c r="M31" s="161">
        <f t="shared" si="6"/>
        <v>136840.25168779318</v>
      </c>
      <c r="N31" s="161">
        <f t="shared" si="6"/>
        <v>166337.16765841603</v>
      </c>
      <c r="O31" s="161">
        <f t="shared" si="6"/>
        <v>2193503.7011090037</v>
      </c>
      <c r="P31" s="161">
        <f t="shared" si="6"/>
        <v>662010.15872808825</v>
      </c>
      <c r="Q31" s="161">
        <f t="shared" si="6"/>
        <v>2770563.4487084043</v>
      </c>
      <c r="R31" s="161">
        <f t="shared" si="6"/>
        <v>131734.0044210598</v>
      </c>
      <c r="S31" s="161">
        <f t="shared" si="6"/>
        <v>231510.41328385303</v>
      </c>
      <c r="T31" s="240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 s="79" customFormat="1">
      <c r="G32" s="171"/>
      <c r="H32" s="188"/>
      <c r="I32" s="145"/>
      <c r="J32" s="111"/>
      <c r="K32" s="111"/>
      <c r="L32" s="111"/>
      <c r="M32" s="111"/>
      <c r="T32" s="240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4:30" s="79" customFormat="1">
      <c r="G33" s="171"/>
      <c r="H33" s="188"/>
      <c r="I33" s="145"/>
      <c r="J33" s="111" t="s">
        <v>3</v>
      </c>
      <c r="K33" s="111"/>
      <c r="L33" s="111"/>
      <c r="M33" s="111"/>
      <c r="T33" s="240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4:30" s="79" customFormat="1">
      <c r="G34" s="171"/>
      <c r="H34" s="188"/>
      <c r="I34" s="79" t="s">
        <v>42</v>
      </c>
      <c r="J34" s="79">
        <v>1507</v>
      </c>
      <c r="L34" s="111"/>
      <c r="M34" s="111"/>
      <c r="T34" s="240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4:30" s="79" customFormat="1">
      <c r="D35" s="108"/>
      <c r="E35" s="144"/>
      <c r="G35" s="171"/>
      <c r="H35" s="188"/>
      <c r="I35" s="145" t="s">
        <v>43</v>
      </c>
      <c r="J35" s="161">
        <f>$J$13</f>
        <v>6291800.082732317</v>
      </c>
      <c r="K35" s="161"/>
      <c r="L35" s="161"/>
      <c r="M35" s="111"/>
      <c r="T35" s="240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4:30" s="79" customFormat="1">
      <c r="D36" s="250" t="s">
        <v>36</v>
      </c>
      <c r="E36" s="253" t="s">
        <v>37</v>
      </c>
      <c r="G36" s="171"/>
      <c r="H36" s="188"/>
      <c r="I36" s="145" t="s">
        <v>44</v>
      </c>
      <c r="J36" s="161">
        <f>(J35/J34)</f>
        <v>4175.0498226491818</v>
      </c>
      <c r="K36" s="161"/>
      <c r="L36" s="161"/>
      <c r="M36" s="111"/>
      <c r="T36" s="240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4:30" s="79" customFormat="1">
      <c r="D37" s="251"/>
      <c r="E37" s="254"/>
      <c r="G37" s="171"/>
      <c r="H37" s="188"/>
      <c r="I37" s="145" t="s">
        <v>45</v>
      </c>
      <c r="J37" s="161">
        <f>$J$28</f>
        <v>400934.64497602877</v>
      </c>
      <c r="K37" s="161"/>
      <c r="L37" s="161"/>
      <c r="M37" s="111"/>
      <c r="T37" s="240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4:30" s="79" customFormat="1">
      <c r="D38" s="251"/>
      <c r="E38" s="254"/>
      <c r="G38" s="171"/>
      <c r="H38" s="188"/>
      <c r="I38" s="145" t="s">
        <v>46</v>
      </c>
      <c r="J38" s="161">
        <f>(J37/J34)</f>
        <v>266.04820502722544</v>
      </c>
      <c r="K38" s="161"/>
      <c r="L38" s="161"/>
      <c r="M38" s="111"/>
      <c r="T38" s="240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4:30" s="79" customFormat="1">
      <c r="D39" s="251"/>
      <c r="E39" s="254"/>
      <c r="G39" s="171"/>
      <c r="H39" s="188"/>
      <c r="I39" s="145" t="s">
        <v>47</v>
      </c>
      <c r="J39" s="161">
        <f>SUM(J35,J37)</f>
        <v>6692734.7277083462</v>
      </c>
      <c r="K39" s="161"/>
      <c r="L39" s="161"/>
      <c r="M39" s="111"/>
      <c r="T39" s="240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4:30" s="79" customFormat="1">
      <c r="D40" s="251"/>
      <c r="E40" s="254"/>
      <c r="G40" s="171"/>
      <c r="H40" s="188"/>
      <c r="I40" s="145" t="s">
        <v>48</v>
      </c>
      <c r="J40" s="161">
        <f>J39/J34</f>
        <v>4441.0980276764076</v>
      </c>
      <c r="K40" s="161"/>
      <c r="L40" s="161"/>
      <c r="M40" s="111"/>
      <c r="T40" s="240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4:30" s="79" customFormat="1">
      <c r="D41" s="251"/>
      <c r="E41" s="254"/>
      <c r="G41" s="171"/>
      <c r="H41" s="188"/>
      <c r="I41" s="145" t="s">
        <v>49</v>
      </c>
      <c r="J41" s="162">
        <v>1822135.8199999998</v>
      </c>
      <c r="K41" s="162"/>
      <c r="L41" s="162"/>
      <c r="M41" s="111"/>
      <c r="T41" s="240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4:30" s="79" customFormat="1">
      <c r="D42" s="251"/>
      <c r="E42" s="254"/>
      <c r="G42" s="171"/>
      <c r="H42" s="188"/>
      <c r="I42" s="145" t="s">
        <v>50</v>
      </c>
      <c r="J42" s="162">
        <f>J41/J34</f>
        <v>1209.1146781685466</v>
      </c>
      <c r="K42" s="162"/>
      <c r="L42" s="162"/>
      <c r="M42" s="111"/>
      <c r="T42" s="240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4:30" s="79" customFormat="1">
      <c r="D43" s="251"/>
      <c r="E43" s="254"/>
      <c r="G43" s="171"/>
      <c r="H43" s="188"/>
      <c r="I43" s="145" t="s">
        <v>51</v>
      </c>
      <c r="J43" s="163">
        <f>J40/J42</f>
        <v>3.6730163878279654</v>
      </c>
      <c r="K43" s="163"/>
      <c r="L43" s="111"/>
      <c r="M43" s="111"/>
      <c r="T43" s="240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4:30" s="79" customFormat="1">
      <c r="D44" s="251"/>
      <c r="E44" s="254"/>
      <c r="G44" s="171"/>
      <c r="H44" s="188"/>
      <c r="I44" s="145"/>
      <c r="J44" s="111"/>
      <c r="K44" s="111"/>
      <c r="L44" s="111"/>
      <c r="M44" s="111"/>
      <c r="T44" s="240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4:30" s="79" customFormat="1">
      <c r="D45" s="251"/>
      <c r="E45" s="254"/>
      <c r="G45" s="171"/>
      <c r="H45" s="188"/>
      <c r="I45" s="145"/>
      <c r="J45" s="111">
        <v>116823.04372650484</v>
      </c>
      <c r="K45" s="111">
        <v>98354.966622935695</v>
      </c>
      <c r="L45" s="111">
        <v>185057.57176228639</v>
      </c>
      <c r="M45" s="111">
        <v>136840.25168779318</v>
      </c>
      <c r="N45" s="79">
        <v>166337.16765841603</v>
      </c>
      <c r="O45" s="79">
        <v>2193503.7011090037</v>
      </c>
      <c r="P45" s="79">
        <v>662010.15872808825</v>
      </c>
      <c r="Q45" s="79">
        <v>2770563.4487084043</v>
      </c>
      <c r="R45" s="79">
        <v>131734.0044210598</v>
      </c>
      <c r="S45" s="79">
        <v>231510.41328385303</v>
      </c>
      <c r="T45" s="240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4:30" s="79" customFormat="1">
      <c r="D46" s="251"/>
      <c r="E46" s="254"/>
      <c r="G46" s="171"/>
      <c r="H46" s="188"/>
      <c r="I46" s="145"/>
      <c r="J46" s="111"/>
      <c r="K46" s="111"/>
      <c r="L46" s="111"/>
      <c r="M46" s="111"/>
      <c r="T46" s="240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4:30" s="79" customFormat="1">
      <c r="D47" s="251"/>
      <c r="E47" s="254"/>
      <c r="G47" s="171"/>
      <c r="H47" s="188"/>
      <c r="I47" s="145"/>
      <c r="J47" s="111"/>
      <c r="K47" s="111"/>
      <c r="L47" s="111"/>
      <c r="M47" s="111"/>
      <c r="T47" s="240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4:30" s="79" customFormat="1">
      <c r="D48" s="251"/>
      <c r="E48" s="254"/>
      <c r="G48" s="171"/>
      <c r="H48" s="188"/>
      <c r="I48" s="145"/>
      <c r="J48" s="111"/>
      <c r="K48" s="111"/>
      <c r="L48" s="111"/>
      <c r="M48" s="111"/>
      <c r="T48" s="240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4:30" s="79" customFormat="1">
      <c r="D49" s="251"/>
      <c r="E49" s="254"/>
      <c r="G49" s="171"/>
      <c r="H49" s="188"/>
      <c r="I49" s="145"/>
      <c r="J49" s="111"/>
      <c r="K49" s="111"/>
      <c r="L49" s="111"/>
      <c r="M49" s="111"/>
      <c r="T49" s="240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4:30" s="79" customFormat="1">
      <c r="D50" s="251"/>
      <c r="E50" s="254"/>
      <c r="G50" s="171"/>
      <c r="H50" s="188"/>
      <c r="I50" s="145"/>
      <c r="J50" s="111"/>
      <c r="K50" s="111"/>
      <c r="L50" s="111"/>
      <c r="M50" s="111"/>
      <c r="T50" s="240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4:30" s="79" customFormat="1">
      <c r="D51" s="251"/>
      <c r="E51" s="254"/>
      <c r="G51" s="171"/>
      <c r="H51" s="188"/>
      <c r="I51" s="145"/>
      <c r="J51" s="111"/>
      <c r="K51" s="111"/>
      <c r="L51" s="111"/>
      <c r="M51" s="111"/>
      <c r="T51" s="240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4:30" s="79" customFormat="1">
      <c r="D52" s="252"/>
      <c r="E52" s="255"/>
      <c r="G52" s="171"/>
      <c r="H52" s="188"/>
      <c r="I52" s="145"/>
      <c r="J52" s="111"/>
      <c r="K52" s="111"/>
      <c r="L52" s="111"/>
      <c r="M52" s="111"/>
      <c r="T52" s="240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4:30" s="79" customFormat="1">
      <c r="D53" s="108"/>
      <c r="E53" s="144"/>
      <c r="G53" s="171"/>
      <c r="H53" s="188"/>
      <c r="I53" s="145"/>
      <c r="J53" s="111"/>
      <c r="K53" s="111"/>
      <c r="L53" s="111"/>
      <c r="M53" s="111"/>
      <c r="T53" s="240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4:30" s="79" customFormat="1">
      <c r="D54" s="108"/>
      <c r="E54" s="144"/>
      <c r="G54" s="171"/>
      <c r="H54" s="188"/>
      <c r="I54" s="145"/>
      <c r="J54" s="111"/>
      <c r="K54" s="111"/>
      <c r="L54" s="111"/>
      <c r="M54" s="111"/>
      <c r="T54" s="240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4:30" s="79" customFormat="1">
      <c r="D55" s="108"/>
      <c r="E55" s="144"/>
      <c r="G55" s="171"/>
      <c r="H55" s="188"/>
      <c r="I55" s="145"/>
      <c r="J55" s="111"/>
      <c r="K55" s="111"/>
      <c r="L55" s="111"/>
      <c r="M55" s="111"/>
      <c r="T55" s="240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4:30" s="79" customFormat="1">
      <c r="D56" s="108"/>
      <c r="E56" s="144"/>
      <c r="G56" s="171"/>
      <c r="H56" s="188"/>
      <c r="I56" s="145"/>
      <c r="J56" s="111"/>
      <c r="K56" s="111"/>
      <c r="L56" s="111"/>
      <c r="M56" s="111"/>
      <c r="T56" s="240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4:30" s="79" customFormat="1">
      <c r="D57" s="108"/>
      <c r="E57" s="144"/>
      <c r="G57" s="171"/>
      <c r="H57" s="188"/>
      <c r="I57" s="145"/>
      <c r="J57" s="111"/>
      <c r="K57" s="111"/>
      <c r="L57" s="111"/>
      <c r="M57" s="111"/>
      <c r="T57" s="240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4:30" s="79" customFormat="1">
      <c r="D58" s="108"/>
      <c r="E58" s="144"/>
      <c r="G58" s="171"/>
      <c r="H58" s="188"/>
      <c r="I58" s="145"/>
      <c r="J58" s="111"/>
      <c r="K58" s="111"/>
      <c r="L58" s="111"/>
      <c r="M58" s="111"/>
      <c r="T58" s="240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4:30" s="79" customFormat="1">
      <c r="D59" s="108"/>
      <c r="E59" s="144"/>
      <c r="G59" s="171"/>
      <c r="H59" s="188"/>
      <c r="I59" s="145"/>
      <c r="J59" s="111"/>
      <c r="K59" s="111"/>
      <c r="L59" s="111"/>
      <c r="M59" s="111"/>
      <c r="T59" s="240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4:30" s="79" customFormat="1">
      <c r="D60" s="108"/>
      <c r="E60" s="144"/>
      <c r="G60" s="171"/>
      <c r="H60" s="188"/>
      <c r="I60" s="145"/>
      <c r="J60" s="111"/>
      <c r="K60" s="111"/>
      <c r="L60" s="111"/>
      <c r="M60" s="111"/>
      <c r="T60" s="240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4:30" s="79" customFormat="1">
      <c r="D61" s="108"/>
      <c r="E61" s="144"/>
      <c r="G61" s="171"/>
      <c r="H61" s="188"/>
      <c r="I61" s="145"/>
      <c r="J61" s="111"/>
      <c r="K61" s="111"/>
      <c r="L61" s="111"/>
      <c r="M61" s="111"/>
      <c r="T61" s="240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4:30" s="79" customFormat="1">
      <c r="D62" s="108"/>
      <c r="E62" s="144"/>
      <c r="G62" s="171"/>
      <c r="H62" s="188"/>
      <c r="I62" s="145"/>
      <c r="J62" s="111"/>
      <c r="K62" s="111"/>
      <c r="L62" s="111"/>
      <c r="M62" s="111"/>
      <c r="T62" s="240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4:30" s="79" customFormat="1">
      <c r="D63" s="108"/>
      <c r="E63" s="144"/>
      <c r="G63" s="171"/>
      <c r="H63" s="188"/>
      <c r="I63" s="145"/>
      <c r="J63" s="111"/>
      <c r="K63" s="111"/>
      <c r="L63" s="111"/>
      <c r="M63" s="111"/>
      <c r="T63" s="240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4:30" s="79" customFormat="1">
      <c r="D64" s="108"/>
      <c r="E64" s="144"/>
      <c r="G64" s="171"/>
      <c r="H64" s="188"/>
      <c r="I64" s="145"/>
      <c r="J64" s="111"/>
      <c r="K64" s="111"/>
      <c r="L64" s="111"/>
      <c r="M64" s="111"/>
      <c r="T64" s="240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4:30" s="79" customFormat="1">
      <c r="D65" s="108"/>
      <c r="E65" s="144"/>
      <c r="G65" s="171"/>
      <c r="H65" s="188"/>
      <c r="I65" s="145"/>
      <c r="J65" s="111"/>
      <c r="K65" s="111"/>
      <c r="L65" s="111"/>
      <c r="M65" s="111"/>
      <c r="T65" s="240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4:30" s="79" customFormat="1">
      <c r="D66" s="108"/>
      <c r="E66" s="144"/>
      <c r="G66" s="171"/>
      <c r="H66" s="188"/>
      <c r="I66" s="145"/>
      <c r="J66" s="111"/>
      <c r="K66" s="111"/>
      <c r="L66" s="111"/>
      <c r="M66" s="111"/>
      <c r="T66" s="240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4:30" s="79" customFormat="1">
      <c r="D67" s="108"/>
      <c r="E67" s="144"/>
      <c r="G67" s="171"/>
      <c r="H67" s="188"/>
      <c r="I67" s="145"/>
      <c r="J67" s="111"/>
      <c r="K67" s="111"/>
      <c r="L67" s="111"/>
      <c r="M67" s="111"/>
      <c r="T67" s="240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4:30" s="79" customFormat="1">
      <c r="D68" s="108"/>
      <c r="E68" s="144"/>
      <c r="G68" s="171"/>
      <c r="H68" s="188"/>
      <c r="I68" s="145"/>
      <c r="J68" s="111"/>
      <c r="K68" s="111"/>
      <c r="L68" s="111"/>
      <c r="M68" s="111"/>
      <c r="T68" s="240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4:30" s="79" customFormat="1">
      <c r="D69" s="108"/>
      <c r="E69" s="144"/>
      <c r="G69" s="171"/>
      <c r="H69" s="188"/>
      <c r="I69" s="145"/>
      <c r="J69" s="111"/>
      <c r="K69" s="111"/>
      <c r="L69" s="111"/>
      <c r="M69" s="111"/>
      <c r="T69" s="240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4:30" s="79" customFormat="1">
      <c r="D70" s="108"/>
      <c r="E70" s="144"/>
      <c r="G70" s="171"/>
      <c r="H70" s="188"/>
      <c r="I70" s="145"/>
      <c r="J70" s="111"/>
      <c r="K70" s="111"/>
      <c r="L70" s="111"/>
      <c r="M70" s="111"/>
      <c r="T70" s="240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4:30" s="79" customFormat="1">
      <c r="D71" s="108"/>
      <c r="E71" s="144"/>
      <c r="G71" s="171"/>
      <c r="H71" s="188"/>
      <c r="I71" s="145"/>
      <c r="J71" s="111"/>
      <c r="K71" s="111"/>
      <c r="L71" s="111"/>
      <c r="M71" s="111"/>
      <c r="T71" s="240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</sheetData>
  <mergeCells count="32">
    <mergeCell ref="S26:S27"/>
    <mergeCell ref="T1:T1048576"/>
    <mergeCell ref="M26:M27"/>
    <mergeCell ref="N26:N27"/>
    <mergeCell ref="O26:O27"/>
    <mergeCell ref="P26:P27"/>
    <mergeCell ref="Q26:Q27"/>
    <mergeCell ref="J16:S18"/>
    <mergeCell ref="J26:J27"/>
    <mergeCell ref="K26:K27"/>
    <mergeCell ref="L26:L27"/>
    <mergeCell ref="L11:L12"/>
    <mergeCell ref="M11:M12"/>
    <mergeCell ref="N11:N12"/>
    <mergeCell ref="Q11:Q12"/>
    <mergeCell ref="S11:S12"/>
    <mergeCell ref="D36:D52"/>
    <mergeCell ref="E36:E52"/>
    <mergeCell ref="A16:E16"/>
    <mergeCell ref="I16:I19"/>
    <mergeCell ref="I26:I27"/>
    <mergeCell ref="A9:E11"/>
    <mergeCell ref="I11:I12"/>
    <mergeCell ref="I1:I4"/>
    <mergeCell ref="P11:P12"/>
    <mergeCell ref="J1:S3"/>
    <mergeCell ref="A1:E2"/>
    <mergeCell ref="A3:E3"/>
    <mergeCell ref="O11:O12"/>
    <mergeCell ref="J11:J12"/>
    <mergeCell ref="K11:K12"/>
    <mergeCell ref="R11:R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G29"/>
  <sheetViews>
    <sheetView zoomScale="110" zoomScaleNormal="110" workbookViewId="0">
      <selection activeCell="F17" sqref="F17"/>
    </sheetView>
  </sheetViews>
  <sheetFormatPr defaultColWidth="8.85546875" defaultRowHeight="15"/>
  <cols>
    <col min="1" max="1" width="17.28515625" bestFit="1" customWidth="1"/>
    <col min="2" max="3" width="17.28515625" style="102" customWidth="1"/>
    <col min="4" max="5" width="17.28515625" style="105" customWidth="1"/>
    <col min="6" max="6" width="16.28515625" bestFit="1" customWidth="1"/>
    <col min="7" max="7" width="12.7109375" style="74" customWidth="1"/>
  </cols>
  <sheetData>
    <row r="3" spans="1:7" s="72" customFormat="1" ht="66" customHeight="1">
      <c r="A3" s="52" t="s">
        <v>6</v>
      </c>
      <c r="B3" s="137" t="s">
        <v>53</v>
      </c>
      <c r="C3" s="137" t="s">
        <v>54</v>
      </c>
      <c r="D3" s="138" t="s">
        <v>55</v>
      </c>
      <c r="E3" s="138" t="s">
        <v>54</v>
      </c>
      <c r="F3" s="139" t="s">
        <v>56</v>
      </c>
      <c r="G3" s="140" t="s">
        <v>57</v>
      </c>
    </row>
    <row r="4" spans="1:7" ht="26.25" customHeight="1">
      <c r="A4" s="48" t="s">
        <v>21</v>
      </c>
      <c r="B4" s="141" t="s">
        <v>58</v>
      </c>
      <c r="C4" s="142" t="s">
        <v>59</v>
      </c>
      <c r="D4" s="142">
        <v>0.8</v>
      </c>
      <c r="E4" s="142" t="s">
        <v>59</v>
      </c>
      <c r="F4" s="143">
        <f>'Colorectal Benefit'!$F$16</f>
        <v>14907.514737603546</v>
      </c>
      <c r="G4" s="143">
        <f>'Colorectal Benefit'!$R$15</f>
        <v>1242.5410750630153</v>
      </c>
    </row>
    <row r="5" spans="1:7">
      <c r="A5" s="48" t="s">
        <v>23</v>
      </c>
      <c r="B5" s="141">
        <v>0.25800000000000001</v>
      </c>
      <c r="C5" s="142" t="s">
        <v>59</v>
      </c>
      <c r="D5" s="142">
        <v>0.5</v>
      </c>
      <c r="E5" s="142" t="s">
        <v>59</v>
      </c>
      <c r="F5" s="143">
        <f>'Heart Disease Benefit'!$G$16</f>
        <v>5481.0227042652114</v>
      </c>
      <c r="G5" s="143">
        <f>'Heart Disease Benefit'!$S$16</f>
        <v>1264.7556786428504</v>
      </c>
    </row>
    <row r="6" spans="1:7">
      <c r="A6" s="48" t="s">
        <v>25</v>
      </c>
      <c r="B6" s="141">
        <v>8.1000000000000003E-2</v>
      </c>
      <c r="C6" s="142" t="s">
        <v>59</v>
      </c>
      <c r="D6" s="142">
        <v>0.49</v>
      </c>
      <c r="E6" s="142" t="s">
        <v>59</v>
      </c>
      <c r="F6" s="143">
        <f>'Stroke Benefits'!$G$18</f>
        <v>21263.67263011451</v>
      </c>
      <c r="G6" s="143">
        <f>'Stroke Benefits'!$U$18</f>
        <v>3487.8827485273468</v>
      </c>
    </row>
    <row r="7" spans="1:7">
      <c r="A7" s="48" t="s">
        <v>15</v>
      </c>
      <c r="B7" s="141">
        <v>0.29299999999999998</v>
      </c>
      <c r="C7" s="142" t="s">
        <v>59</v>
      </c>
      <c r="D7" s="142">
        <v>0.45</v>
      </c>
      <c r="E7" s="142" t="s">
        <v>59</v>
      </c>
      <c r="F7" s="143">
        <f>'Hypertension Benefit'!$G$29</f>
        <v>1418.8495275985588</v>
      </c>
      <c r="G7" s="143">
        <f>'Hypertension Benefit'!$S$29</f>
        <v>4090.6286200237264</v>
      </c>
    </row>
    <row r="8" spans="1:7">
      <c r="A8" s="283" t="s">
        <v>60</v>
      </c>
      <c r="B8" s="283"/>
      <c r="C8" s="283"/>
      <c r="D8" s="283"/>
      <c r="E8" s="176"/>
      <c r="F8" s="143"/>
      <c r="G8" s="143"/>
    </row>
    <row r="9" spans="1:7">
      <c r="A9" s="283"/>
      <c r="B9" s="283"/>
      <c r="C9" s="283"/>
      <c r="D9" s="283"/>
      <c r="E9" s="176"/>
      <c r="F9" s="143"/>
      <c r="G9" s="143"/>
    </row>
    <row r="10" spans="1:7">
      <c r="A10" s="283"/>
      <c r="B10" s="283"/>
      <c r="C10" s="283"/>
      <c r="D10" s="283"/>
      <c r="E10" s="176"/>
      <c r="F10" s="143"/>
      <c r="G10" s="143"/>
    </row>
    <row r="11" spans="1:7">
      <c r="A11" s="48" t="s">
        <v>16</v>
      </c>
      <c r="B11" s="141">
        <v>0.10299999999999999</v>
      </c>
      <c r="C11" s="142" t="s">
        <v>59</v>
      </c>
      <c r="D11" s="142">
        <v>0.15</v>
      </c>
      <c r="E11" s="142" t="s">
        <v>61</v>
      </c>
      <c r="F11" s="143">
        <f>osteoporosis!$C$35</f>
        <v>139409.29282534606</v>
      </c>
      <c r="G11" s="143">
        <f>osteoporosis!$M$22</f>
        <v>3472.7206980956112</v>
      </c>
    </row>
    <row r="12" spans="1:7">
      <c r="A12" s="48" t="s">
        <v>32</v>
      </c>
      <c r="B12" s="141">
        <v>0.28000000000000003</v>
      </c>
      <c r="C12" s="142" t="s">
        <v>59</v>
      </c>
      <c r="D12" s="142">
        <v>0.45</v>
      </c>
      <c r="E12" s="142" t="s">
        <v>59</v>
      </c>
      <c r="F12" s="143">
        <f>'Type 2 Diabeties'!$C$31</f>
        <v>88685.105192324641</v>
      </c>
      <c r="G12" s="143">
        <f>'Type 2 Diabeties'!$Q$18</f>
        <v>3730.3402362679958</v>
      </c>
    </row>
    <row r="13" spans="1:7">
      <c r="A13" s="48" t="s">
        <v>18</v>
      </c>
      <c r="B13" s="141">
        <v>0.38</v>
      </c>
      <c r="C13" s="142" t="s">
        <v>59</v>
      </c>
      <c r="D13" s="142">
        <v>0.5</v>
      </c>
      <c r="E13" s="142" t="s">
        <v>61</v>
      </c>
      <c r="F13" s="143">
        <f>Obesity!$C$45</f>
        <v>42711.261846771878</v>
      </c>
      <c r="G13" s="143">
        <f>Obesity!$N$32</f>
        <v>3529.7997763963713</v>
      </c>
    </row>
    <row r="14" spans="1:7">
      <c r="A14" s="48" t="s">
        <v>34</v>
      </c>
      <c r="B14" s="141">
        <v>0.16700000000000001</v>
      </c>
      <c r="C14" s="142" t="s">
        <v>59</v>
      </c>
      <c r="D14" s="142">
        <v>1</v>
      </c>
      <c r="E14" s="142" t="s">
        <v>59</v>
      </c>
      <c r="F14" s="143">
        <f>'Foodborne illness'!$C$47</f>
        <v>42402.559854710737</v>
      </c>
      <c r="G14" s="143">
        <f>'Foodborne illness'!$M$34</f>
        <v>1632.4774158057662</v>
      </c>
    </row>
    <row r="15" spans="1:7">
      <c r="A15" s="249" t="s">
        <v>62</v>
      </c>
      <c r="B15" s="249"/>
      <c r="C15" s="249"/>
      <c r="D15" s="249"/>
      <c r="E15" s="175"/>
      <c r="F15" s="143"/>
      <c r="G15" s="143"/>
    </row>
    <row r="16" spans="1:7">
      <c r="A16" s="48" t="s">
        <v>20</v>
      </c>
      <c r="B16" s="141">
        <v>1</v>
      </c>
      <c r="C16" s="142" t="s">
        <v>59</v>
      </c>
      <c r="D16" s="142">
        <v>0.22</v>
      </c>
      <c r="E16" s="142" t="s">
        <v>61</v>
      </c>
      <c r="F16" s="143">
        <f>'Data &amp; PV'!$G$12</f>
        <v>2539.229198</v>
      </c>
      <c r="G16" s="143"/>
    </row>
    <row r="17" spans="1:7">
      <c r="A17" s="208" t="s">
        <v>83</v>
      </c>
      <c r="B17" s="217">
        <v>8.0199999999999994E-2</v>
      </c>
      <c r="C17" s="218"/>
      <c r="D17" s="218">
        <v>1</v>
      </c>
      <c r="E17" s="215"/>
      <c r="F17" s="216">
        <f>'Data &amp; PV'!$G$13</f>
        <v>21799.185582999999</v>
      </c>
      <c r="G17" s="216"/>
    </row>
    <row r="18" spans="1:7">
      <c r="A18" s="173"/>
      <c r="B18" s="287" t="s">
        <v>63</v>
      </c>
      <c r="C18" s="149"/>
      <c r="D18" s="284" t="s">
        <v>64</v>
      </c>
      <c r="E18" s="147"/>
      <c r="F18" s="290" t="s">
        <v>65</v>
      </c>
      <c r="G18" s="290"/>
    </row>
    <row r="19" spans="1:7">
      <c r="B19" s="288"/>
      <c r="C19" s="150"/>
      <c r="D19" s="285"/>
      <c r="E19" s="148"/>
      <c r="F19" s="291"/>
      <c r="G19" s="291"/>
    </row>
    <row r="20" spans="1:7">
      <c r="B20" s="288"/>
      <c r="C20" s="150"/>
      <c r="D20" s="285"/>
      <c r="E20" s="148"/>
      <c r="F20" s="291"/>
      <c r="G20" s="291"/>
    </row>
    <row r="21" spans="1:7">
      <c r="B21" s="288"/>
      <c r="C21" s="150"/>
      <c r="D21" s="285"/>
      <c r="E21" s="148"/>
      <c r="F21" s="291"/>
      <c r="G21" s="291"/>
    </row>
    <row r="22" spans="1:7">
      <c r="B22" s="288"/>
      <c r="C22" s="150"/>
      <c r="D22" s="285"/>
      <c r="E22" s="148"/>
      <c r="F22" s="291"/>
      <c r="G22" s="291"/>
    </row>
    <row r="23" spans="1:7">
      <c r="B23" s="288"/>
      <c r="C23" s="150"/>
      <c r="D23" s="285"/>
      <c r="E23" s="148"/>
      <c r="F23" s="291"/>
      <c r="G23" s="291"/>
    </row>
    <row r="24" spans="1:7">
      <c r="B24" s="288"/>
      <c r="C24" s="150"/>
      <c r="D24" s="285"/>
      <c r="E24" s="148"/>
    </row>
    <row r="25" spans="1:7">
      <c r="B25" s="288"/>
      <c r="C25" s="150"/>
      <c r="D25" s="285"/>
      <c r="E25" s="148"/>
    </row>
    <row r="26" spans="1:7">
      <c r="B26" s="288"/>
      <c r="C26" s="150"/>
      <c r="D26" s="285"/>
      <c r="E26" s="148"/>
    </row>
    <row r="27" spans="1:7">
      <c r="B27" s="288"/>
      <c r="C27" s="150"/>
      <c r="D27" s="285"/>
      <c r="E27" s="148"/>
    </row>
    <row r="28" spans="1:7">
      <c r="B28" s="288"/>
      <c r="C28" s="150"/>
      <c r="D28" s="285"/>
      <c r="E28" s="148"/>
    </row>
    <row r="29" spans="1:7">
      <c r="B29" s="289"/>
      <c r="C29" s="151"/>
      <c r="D29" s="286"/>
      <c r="E29" s="148"/>
    </row>
  </sheetData>
  <mergeCells count="5">
    <mergeCell ref="A8:D10"/>
    <mergeCell ref="A15:D15"/>
    <mergeCell ref="D18:D29"/>
    <mergeCell ref="B18:B29"/>
    <mergeCell ref="F18:G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17"/>
  <sheetViews>
    <sheetView workbookViewId="0">
      <selection activeCell="H5" sqref="H5"/>
    </sheetView>
  </sheetViews>
  <sheetFormatPr defaultColWidth="8.85546875" defaultRowHeight="15"/>
  <cols>
    <col min="1" max="1" width="17.28515625" bestFit="1" customWidth="1"/>
    <col min="2" max="2" width="17.28515625" style="102" customWidth="1"/>
    <col min="3" max="3" width="17.28515625" style="105" customWidth="1"/>
    <col min="4" max="5" width="17.28515625" customWidth="1"/>
    <col min="6" max="6" width="18.7109375" style="2" customWidth="1"/>
    <col min="7" max="7" width="18.7109375" style="98" customWidth="1"/>
    <col min="8" max="8" width="16.28515625" bestFit="1" customWidth="1"/>
    <col min="9" max="9" width="12.7109375" style="74" customWidth="1"/>
  </cols>
  <sheetData>
    <row r="3" spans="1:11" s="72" customFormat="1" ht="66" customHeight="1">
      <c r="A3" s="73" t="s">
        <v>6</v>
      </c>
      <c r="B3" s="100" t="s">
        <v>53</v>
      </c>
      <c r="C3" s="103" t="s">
        <v>55</v>
      </c>
      <c r="D3" s="73" t="s">
        <v>7</v>
      </c>
      <c r="E3" s="73" t="s">
        <v>8</v>
      </c>
      <c r="F3" s="97" t="s">
        <v>66</v>
      </c>
      <c r="G3" s="99" t="s">
        <v>67</v>
      </c>
      <c r="H3" s="72" t="s">
        <v>56</v>
      </c>
      <c r="I3" s="75" t="s">
        <v>57</v>
      </c>
      <c r="J3" s="72" t="s">
        <v>68</v>
      </c>
      <c r="K3" s="72" t="s">
        <v>69</v>
      </c>
    </row>
    <row r="4" spans="1:11" ht="26.25" customHeight="1">
      <c r="A4" s="173" t="s">
        <v>21</v>
      </c>
      <c r="B4" s="101">
        <v>4.3999999999999997E-2</v>
      </c>
      <c r="C4" s="104">
        <v>0.12</v>
      </c>
      <c r="D4" s="173">
        <v>1</v>
      </c>
      <c r="E4" s="173">
        <v>3</v>
      </c>
      <c r="F4" s="106">
        <v>2</v>
      </c>
      <c r="G4" s="98">
        <f>(F4/72)</f>
        <v>2.7777777777777776E-2</v>
      </c>
      <c r="H4" s="74">
        <f>'Colorectal Benefit'!$F$16</f>
        <v>14907.514737603546</v>
      </c>
      <c r="I4" s="74">
        <f>'Colorectal Benefit'!$R$15</f>
        <v>1242.5410750630153</v>
      </c>
    </row>
    <row r="5" spans="1:11">
      <c r="A5" s="173" t="s">
        <v>23</v>
      </c>
      <c r="B5" s="101">
        <v>0.25800000000000001</v>
      </c>
      <c r="C5" s="104">
        <v>0.3</v>
      </c>
      <c r="D5" s="173">
        <v>1</v>
      </c>
      <c r="E5" s="173">
        <v>3</v>
      </c>
      <c r="F5" s="106">
        <v>2</v>
      </c>
      <c r="G5" s="98">
        <f t="shared" ref="G5:G16" si="0">(F5/72)</f>
        <v>2.7777777777777776E-2</v>
      </c>
      <c r="H5" s="74">
        <f>'Heart Disease Benefit'!$G$16</f>
        <v>5481.0227042652114</v>
      </c>
      <c r="I5" s="74">
        <f>'Heart Disease Benefit'!$S$16</f>
        <v>1264.7556786428504</v>
      </c>
    </row>
    <row r="6" spans="1:11">
      <c r="A6" s="173" t="s">
        <v>25</v>
      </c>
      <c r="B6" s="101">
        <v>3.1E-2</v>
      </c>
      <c r="C6" s="104">
        <v>0.27</v>
      </c>
      <c r="D6" s="173">
        <v>0</v>
      </c>
      <c r="E6" s="173">
        <v>4</v>
      </c>
      <c r="F6" s="106">
        <v>4</v>
      </c>
      <c r="G6" s="98">
        <f t="shared" si="0"/>
        <v>5.5555555555555552E-2</v>
      </c>
      <c r="H6" s="74">
        <f>'Stroke Benefits'!$G$18</f>
        <v>21263.67263011451</v>
      </c>
      <c r="I6" s="74">
        <f>'Stroke Benefits'!$U$18</f>
        <v>3487.8827485273468</v>
      </c>
    </row>
    <row r="7" spans="1:11">
      <c r="A7" s="173" t="s">
        <v>15</v>
      </c>
      <c r="B7" s="101">
        <v>0.28999999999999998</v>
      </c>
      <c r="C7" s="104">
        <v>0.45</v>
      </c>
      <c r="D7" s="173">
        <v>0</v>
      </c>
      <c r="E7" s="173">
        <v>4</v>
      </c>
      <c r="F7" s="106">
        <v>4</v>
      </c>
      <c r="G7" s="98">
        <f t="shared" si="0"/>
        <v>5.5555555555555552E-2</v>
      </c>
      <c r="H7" s="74">
        <f>'Hypertension Benefit'!$G$29</f>
        <v>1418.8495275985588</v>
      </c>
      <c r="I7" s="74">
        <f>'Hypertension Benefit'!$S$29</f>
        <v>4090.6286200237264</v>
      </c>
    </row>
    <row r="8" spans="1:11">
      <c r="A8" s="292" t="s">
        <v>60</v>
      </c>
      <c r="B8" s="292"/>
      <c r="C8" s="292"/>
      <c r="D8" s="27"/>
      <c r="E8" s="27"/>
      <c r="F8" s="106"/>
      <c r="H8" s="74"/>
    </row>
    <row r="9" spans="1:11">
      <c r="A9" s="292"/>
      <c r="B9" s="292"/>
      <c r="C9" s="292"/>
      <c r="D9" s="27"/>
      <c r="E9" s="27"/>
      <c r="F9" s="106"/>
      <c r="H9" s="74"/>
    </row>
    <row r="10" spans="1:11">
      <c r="A10" s="292"/>
      <c r="B10" s="292"/>
      <c r="C10" s="292"/>
      <c r="D10" s="27"/>
      <c r="E10" s="27"/>
      <c r="F10" s="106"/>
      <c r="H10" s="74"/>
    </row>
    <row r="11" spans="1:11">
      <c r="A11" s="173" t="s">
        <v>16</v>
      </c>
      <c r="B11" s="101">
        <v>0.245</v>
      </c>
      <c r="C11" s="104">
        <v>0.15</v>
      </c>
      <c r="D11" s="173">
        <v>2</v>
      </c>
      <c r="E11" s="173">
        <v>0</v>
      </c>
      <c r="F11" s="106">
        <v>0</v>
      </c>
      <c r="G11" s="98">
        <f t="shared" si="0"/>
        <v>0</v>
      </c>
      <c r="H11" s="74">
        <f>osteoporosis!$C$35</f>
        <v>139409.29282534606</v>
      </c>
      <c r="I11" s="74">
        <f>osteoporosis!$M$22</f>
        <v>3472.7206980956112</v>
      </c>
    </row>
    <row r="12" spans="1:11">
      <c r="A12" s="173" t="s">
        <v>32</v>
      </c>
      <c r="B12" s="101">
        <v>0.13</v>
      </c>
      <c r="C12" s="104">
        <v>0.51</v>
      </c>
      <c r="D12" s="173">
        <v>2</v>
      </c>
      <c r="E12" s="173">
        <v>2</v>
      </c>
      <c r="F12" s="106">
        <v>2</v>
      </c>
      <c r="G12" s="98">
        <f t="shared" si="0"/>
        <v>2.7777777777777776E-2</v>
      </c>
      <c r="H12" s="74">
        <f>'Type 2 Diabeties'!$C$31</f>
        <v>88685.105192324641</v>
      </c>
      <c r="I12" s="74">
        <f>'Type 2 Diabeties'!$Q$18</f>
        <v>3730.3402362679958</v>
      </c>
    </row>
    <row r="13" spans="1:11">
      <c r="A13" s="173" t="s">
        <v>18</v>
      </c>
      <c r="B13" s="101">
        <v>0.39800000000000002</v>
      </c>
      <c r="C13" s="104">
        <v>0.5</v>
      </c>
      <c r="D13" s="173">
        <v>1</v>
      </c>
      <c r="E13" s="173">
        <v>1</v>
      </c>
      <c r="F13" s="106">
        <v>1</v>
      </c>
      <c r="G13" s="98">
        <f t="shared" si="0"/>
        <v>1.3888888888888888E-2</v>
      </c>
      <c r="H13" s="74">
        <f>Obesity!$C$45</f>
        <v>42711.261846771878</v>
      </c>
      <c r="I13" s="74">
        <f>Obesity!$N$32</f>
        <v>3529.7997763963713</v>
      </c>
    </row>
    <row r="14" spans="1:11">
      <c r="A14" s="173" t="s">
        <v>34</v>
      </c>
      <c r="B14" s="101">
        <v>0.16700000000000001</v>
      </c>
      <c r="C14" s="104">
        <v>1</v>
      </c>
      <c r="D14" s="173">
        <v>4</v>
      </c>
      <c r="E14" s="173">
        <v>4</v>
      </c>
      <c r="F14" s="106">
        <v>2</v>
      </c>
      <c r="G14" s="98">
        <f t="shared" si="0"/>
        <v>2.7777777777777776E-2</v>
      </c>
      <c r="H14" s="74">
        <f>'Foodborne illness'!$C$47</f>
        <v>42402.559854710737</v>
      </c>
      <c r="I14" s="74">
        <f>'Foodborne illness'!$M$34</f>
        <v>1632.4774158057662</v>
      </c>
    </row>
    <row r="15" spans="1:11">
      <c r="A15" s="293" t="s">
        <v>62</v>
      </c>
      <c r="B15" s="293"/>
      <c r="C15" s="293"/>
      <c r="F15" s="106"/>
      <c r="H15" s="74"/>
    </row>
    <row r="16" spans="1:11">
      <c r="A16" s="173" t="s">
        <v>20</v>
      </c>
      <c r="B16" s="101">
        <v>0.68</v>
      </c>
      <c r="C16" s="104">
        <v>0.22</v>
      </c>
      <c r="D16" s="173">
        <v>12</v>
      </c>
      <c r="E16" s="173">
        <v>17</v>
      </c>
      <c r="F16" s="106">
        <v>5</v>
      </c>
      <c r="G16" s="98">
        <f t="shared" si="0"/>
        <v>6.9444444444444448E-2</v>
      </c>
      <c r="H16" s="74">
        <f>'Data &amp; PV'!$G$12</f>
        <v>2539.229198</v>
      </c>
    </row>
    <row r="17" spans="1:8">
      <c r="A17" s="173"/>
      <c r="B17" s="101"/>
      <c r="C17" s="104"/>
      <c r="D17" s="173"/>
      <c r="E17" s="173"/>
      <c r="F17" s="106"/>
      <c r="H17" s="74"/>
    </row>
  </sheetData>
  <mergeCells count="2">
    <mergeCell ref="A8:C10"/>
    <mergeCell ref="A15:C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>
      <pane xSplit="1" topLeftCell="D1" activePane="topRight" state="frozen"/>
      <selection pane="topRight" activeCell="G10" sqref="G10"/>
    </sheetView>
  </sheetViews>
  <sheetFormatPr defaultColWidth="9.140625" defaultRowHeight="15"/>
  <cols>
    <col min="1" max="1" width="19.42578125" style="49" customWidth="1"/>
    <col min="2" max="2" width="16.7109375" style="49" customWidth="1"/>
    <col min="3" max="3" width="12.42578125" style="49" customWidth="1"/>
    <col min="4" max="4" width="15.28515625" style="49" customWidth="1"/>
    <col min="5" max="5" width="18.42578125" style="49" customWidth="1"/>
    <col min="6" max="6" width="13.7109375" style="49" customWidth="1"/>
    <col min="7" max="7" width="25.42578125" style="50" customWidth="1"/>
    <col min="8" max="8" width="13.42578125" style="56" customWidth="1"/>
    <col min="9" max="9" width="16.28515625" style="49" customWidth="1"/>
    <col min="10" max="10" width="13.85546875" style="49" customWidth="1"/>
    <col min="11" max="11" width="14.42578125" style="49" customWidth="1"/>
    <col min="12" max="12" width="17.7109375" style="49" bestFit="1" customWidth="1"/>
    <col min="13" max="13" width="9.5703125" style="49" bestFit="1" customWidth="1"/>
    <col min="14" max="16384" width="9.140625" style="49"/>
  </cols>
  <sheetData>
    <row r="1" spans="1:13" s="40" customFormat="1" ht="45" customHeight="1">
      <c r="A1" s="47" t="s">
        <v>6</v>
      </c>
      <c r="B1" s="39" t="s">
        <v>70</v>
      </c>
      <c r="C1" s="39" t="s">
        <v>71</v>
      </c>
      <c r="D1" s="39" t="s">
        <v>72</v>
      </c>
      <c r="E1" s="39" t="s">
        <v>73</v>
      </c>
      <c r="F1" s="39" t="s">
        <v>74</v>
      </c>
      <c r="G1" s="41" t="s">
        <v>75</v>
      </c>
      <c r="H1" s="54" t="s">
        <v>76</v>
      </c>
      <c r="I1" s="39" t="s">
        <v>77</v>
      </c>
      <c r="J1" s="39" t="s">
        <v>78</v>
      </c>
      <c r="K1" s="52" t="s">
        <v>79</v>
      </c>
    </row>
    <row r="2" spans="1:13">
      <c r="A2" s="48" t="s">
        <v>21</v>
      </c>
      <c r="B2" s="48">
        <v>37</v>
      </c>
      <c r="C2" s="48">
        <v>50</v>
      </c>
      <c r="D2" s="48">
        <v>5</v>
      </c>
      <c r="E2" s="48">
        <v>5</v>
      </c>
      <c r="F2" s="48">
        <v>78</v>
      </c>
      <c r="G2" s="109">
        <f>32255*1.078687</f>
        <v>34793.049184999996</v>
      </c>
      <c r="H2" s="55">
        <v>65</v>
      </c>
      <c r="I2" s="175">
        <v>50</v>
      </c>
      <c r="J2" s="51">
        <f>7.25*$I$2*8</f>
        <v>2900</v>
      </c>
      <c r="K2" s="76">
        <f>FIGURES!G4</f>
        <v>1242.5410750630153</v>
      </c>
    </row>
    <row r="3" spans="1:13">
      <c r="A3" s="48" t="s">
        <v>80</v>
      </c>
      <c r="B3" s="48">
        <v>37</v>
      </c>
      <c r="C3" s="48">
        <v>55</v>
      </c>
      <c r="D3" s="48">
        <v>5</v>
      </c>
      <c r="E3" s="48">
        <v>5</v>
      </c>
      <c r="F3" s="48">
        <v>78</v>
      </c>
      <c r="G3" s="109">
        <f>13748*1.078687</f>
        <v>14829.788875999999</v>
      </c>
      <c r="H3" s="55">
        <v>65</v>
      </c>
      <c r="I3" s="83">
        <v>59</v>
      </c>
      <c r="J3" s="51">
        <f>7.25*I3*8</f>
        <v>3422</v>
      </c>
      <c r="K3" s="76">
        <f>FIGURES!G5</f>
        <v>1264.7556786428504</v>
      </c>
    </row>
    <row r="4" spans="1:13">
      <c r="A4" s="48" t="s">
        <v>14</v>
      </c>
      <c r="B4" s="48">
        <v>37</v>
      </c>
      <c r="C4" s="48">
        <v>45</v>
      </c>
      <c r="D4" s="48">
        <v>10</v>
      </c>
      <c r="E4" s="48">
        <v>5</v>
      </c>
      <c r="F4" s="48">
        <v>78</v>
      </c>
      <c r="G4" s="109">
        <f>21307*1.078687</f>
        <v>22983.583908999997</v>
      </c>
      <c r="H4" s="55">
        <v>65</v>
      </c>
      <c r="I4" s="175">
        <v>65</v>
      </c>
      <c r="J4" s="51">
        <f>7.25*I4*8</f>
        <v>3770</v>
      </c>
      <c r="K4" s="76">
        <f>FIGURES!G6</f>
        <v>3487.8827485273468</v>
      </c>
    </row>
    <row r="5" spans="1:13">
      <c r="A5" s="48" t="s">
        <v>15</v>
      </c>
      <c r="B5" s="48">
        <v>37</v>
      </c>
      <c r="C5" s="48">
        <v>41</v>
      </c>
      <c r="D5" s="48">
        <v>20</v>
      </c>
      <c r="E5" s="48">
        <v>5</v>
      </c>
      <c r="F5" s="48">
        <v>78</v>
      </c>
      <c r="G5" s="109">
        <f>746*1.078687</f>
        <v>804.70050199999991</v>
      </c>
      <c r="H5" s="55">
        <v>65</v>
      </c>
      <c r="I5" s="175">
        <v>40</v>
      </c>
      <c r="J5" s="51">
        <f>7.25*I5*8</f>
        <v>2320</v>
      </c>
      <c r="K5" s="76">
        <f>FIGURES!G7</f>
        <v>4090.6286200237264</v>
      </c>
    </row>
    <row r="6" spans="1:13" ht="33" customHeight="1">
      <c r="A6" s="294" t="s">
        <v>28</v>
      </c>
      <c r="B6" s="294"/>
      <c r="C6" s="294"/>
      <c r="D6" s="294"/>
      <c r="E6" s="294"/>
      <c r="F6" s="294"/>
      <c r="G6" s="294"/>
      <c r="H6" s="55"/>
      <c r="I6" s="175"/>
      <c r="J6" s="51"/>
      <c r="K6" s="175"/>
    </row>
    <row r="7" spans="1:13">
      <c r="A7" s="48" t="s">
        <v>16</v>
      </c>
      <c r="B7" s="48">
        <v>37</v>
      </c>
      <c r="C7" s="48">
        <v>50</v>
      </c>
      <c r="D7" s="48"/>
      <c r="E7" s="48"/>
      <c r="F7" s="48">
        <v>78</v>
      </c>
      <c r="G7" s="109">
        <f>9891*1.078687</f>
        <v>10669.293116999999</v>
      </c>
      <c r="H7" s="55">
        <v>65</v>
      </c>
      <c r="I7" s="175">
        <v>7</v>
      </c>
      <c r="J7" s="51">
        <f>7.25*I7*8</f>
        <v>406</v>
      </c>
      <c r="K7" s="76">
        <f>FIGURES!G11</f>
        <v>3472.7206980956112</v>
      </c>
    </row>
    <row r="8" spans="1:13">
      <c r="A8" s="48" t="s">
        <v>81</v>
      </c>
      <c r="B8" s="48">
        <v>37</v>
      </c>
      <c r="C8" s="48">
        <v>54</v>
      </c>
      <c r="D8" s="48"/>
      <c r="E8" s="48"/>
      <c r="F8" s="48">
        <v>78</v>
      </c>
      <c r="G8" s="109">
        <f>8038*1.078687</f>
        <v>8670.4861060000003</v>
      </c>
      <c r="H8" s="55">
        <v>65</v>
      </c>
      <c r="I8" s="175">
        <v>11</v>
      </c>
      <c r="J8" s="51">
        <f>7.25*I8*8</f>
        <v>638</v>
      </c>
      <c r="K8" s="76">
        <f>FIGURES!G12</f>
        <v>3730.3402362679958</v>
      </c>
    </row>
    <row r="9" spans="1:13">
      <c r="A9" s="48" t="s">
        <v>18</v>
      </c>
      <c r="B9" s="48">
        <v>37</v>
      </c>
      <c r="C9" s="48">
        <v>40</v>
      </c>
      <c r="D9" s="48"/>
      <c r="E9" s="48"/>
      <c r="F9" s="48">
        <v>78</v>
      </c>
      <c r="G9" s="109">
        <f>1897*1.078687</f>
        <v>2046.269239</v>
      </c>
      <c r="H9" s="55">
        <v>65</v>
      </c>
      <c r="I9" s="175">
        <v>3.72</v>
      </c>
      <c r="J9" s="51">
        <f>7.25*I9*8</f>
        <v>215.76000000000002</v>
      </c>
      <c r="K9" s="76">
        <f>FIGURES!G13</f>
        <v>3529.7997763963713</v>
      </c>
    </row>
    <row r="10" spans="1:13">
      <c r="A10" s="48" t="s">
        <v>82</v>
      </c>
      <c r="B10" s="48">
        <v>37</v>
      </c>
      <c r="C10" s="48">
        <v>24</v>
      </c>
      <c r="D10" s="48"/>
      <c r="E10" s="48"/>
      <c r="F10" s="48">
        <v>78</v>
      </c>
      <c r="G10" s="109">
        <f>1679*1.078687</f>
        <v>1811.1154729999998</v>
      </c>
      <c r="H10" s="55">
        <v>65</v>
      </c>
      <c r="I10" s="175">
        <v>1.5</v>
      </c>
      <c r="J10" s="51">
        <f>7.25*I10*8</f>
        <v>87</v>
      </c>
      <c r="K10" s="76">
        <f>FIGURES!G14</f>
        <v>1632.4774158057662</v>
      </c>
    </row>
    <row r="11" spans="1:13">
      <c r="A11" s="294" t="s">
        <v>35</v>
      </c>
      <c r="B11" s="294"/>
      <c r="C11" s="294"/>
      <c r="D11" s="294"/>
      <c r="E11" s="294"/>
      <c r="F11" s="294"/>
      <c r="G11" s="294"/>
      <c r="H11" s="55"/>
      <c r="I11" s="175"/>
      <c r="J11" s="51"/>
      <c r="K11" s="76"/>
    </row>
    <row r="12" spans="1:13">
      <c r="A12" s="48" t="s">
        <v>20</v>
      </c>
      <c r="B12" s="48">
        <v>37</v>
      </c>
      <c r="C12" s="48">
        <v>0</v>
      </c>
      <c r="D12" s="48"/>
      <c r="E12" s="48"/>
      <c r="F12" s="48">
        <v>78</v>
      </c>
      <c r="G12" s="109">
        <f>2354*1.078687</f>
        <v>2539.229198</v>
      </c>
      <c r="H12" s="55">
        <v>65</v>
      </c>
      <c r="I12" s="175"/>
      <c r="J12" s="51"/>
      <c r="K12" s="175"/>
    </row>
    <row r="13" spans="1:13">
      <c r="A13" s="48" t="s">
        <v>83</v>
      </c>
      <c r="B13" s="48">
        <v>37</v>
      </c>
      <c r="C13" s="48">
        <v>0</v>
      </c>
      <c r="D13" s="48"/>
      <c r="E13" s="48"/>
      <c r="F13" s="48">
        <v>78</v>
      </c>
      <c r="G13" s="109">
        <f>20209*1.078687</f>
        <v>21799.185582999999</v>
      </c>
      <c r="H13" s="55">
        <v>65</v>
      </c>
      <c r="I13" s="175"/>
      <c r="J13" s="51"/>
      <c r="K13" s="175"/>
    </row>
    <row r="14" spans="1:13">
      <c r="G14" s="296" t="s">
        <v>84</v>
      </c>
    </row>
    <row r="15" spans="1:13">
      <c r="A15" s="84"/>
      <c r="B15" s="85"/>
      <c r="E15" s="86"/>
      <c r="G15" s="297"/>
      <c r="J15" s="87"/>
    </row>
    <row r="16" spans="1:13">
      <c r="G16" s="297"/>
      <c r="L16" s="49" t="s">
        <v>85</v>
      </c>
      <c r="M16" s="110">
        <f>(255.651/237.002)</f>
        <v>1.0786870996869224</v>
      </c>
    </row>
    <row r="17" spans="5:9">
      <c r="G17" s="297"/>
    </row>
    <row r="18" spans="5:9">
      <c r="E18" s="88"/>
      <c r="F18" s="88"/>
      <c r="G18" s="297"/>
      <c r="H18" s="88"/>
    </row>
    <row r="19" spans="5:9">
      <c r="E19" s="88"/>
      <c r="F19" s="88"/>
      <c r="G19" s="297"/>
      <c r="H19" s="88"/>
    </row>
    <row r="20" spans="5:9">
      <c r="E20" s="88"/>
      <c r="F20" s="88"/>
      <c r="G20" s="297"/>
      <c r="H20" s="88"/>
    </row>
    <row r="21" spans="5:9">
      <c r="G21" s="297"/>
    </row>
    <row r="22" spans="5:9">
      <c r="G22" s="297"/>
    </row>
    <row r="23" spans="5:9" ht="43.5" customHeight="1">
      <c r="E23" s="295"/>
      <c r="F23" s="295"/>
      <c r="G23" s="295"/>
      <c r="H23" s="295"/>
      <c r="I23" s="49" t="s">
        <v>86</v>
      </c>
    </row>
  </sheetData>
  <mergeCells count="4">
    <mergeCell ref="A6:G6"/>
    <mergeCell ref="E23:H23"/>
    <mergeCell ref="A11:G11"/>
    <mergeCell ref="G14:G2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3"/>
  <sheetViews>
    <sheetView zoomScale="106" zoomScaleNormal="106" workbookViewId="0">
      <pane xSplit="11" topLeftCell="L1" activePane="topRight" state="frozen"/>
      <selection pane="topRight" activeCell="W7" sqref="W7:W11"/>
    </sheetView>
  </sheetViews>
  <sheetFormatPr defaultColWidth="8.85546875" defaultRowHeight="15"/>
  <cols>
    <col min="3" max="3" width="15.5703125" style="1" bestFit="1" customWidth="1"/>
    <col min="6" max="6" width="14.5703125" bestFit="1" customWidth="1"/>
    <col min="11" max="11" width="15.5703125" style="1" bestFit="1" customWidth="1"/>
    <col min="15" max="15" width="15" customWidth="1"/>
    <col min="18" max="19" width="10.28515625" bestFit="1" customWidth="1"/>
    <col min="23" max="23" width="10.28515625" customWidth="1"/>
  </cols>
  <sheetData>
    <row r="1" spans="1:23">
      <c r="A1" s="301" t="s">
        <v>87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28"/>
      <c r="M1" s="301" t="s">
        <v>88</v>
      </c>
      <c r="N1" s="302"/>
      <c r="O1" s="302"/>
      <c r="P1" s="302"/>
      <c r="Q1" s="302"/>
      <c r="R1" s="302"/>
      <c r="S1" s="302"/>
      <c r="T1" s="302"/>
      <c r="U1" s="302"/>
      <c r="V1" s="302"/>
      <c r="W1" s="302"/>
    </row>
    <row r="2" spans="1:23">
      <c r="A2" s="303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28"/>
      <c r="M2" s="303"/>
      <c r="N2" s="304"/>
      <c r="O2" s="304"/>
      <c r="P2" s="304"/>
      <c r="Q2" s="304"/>
      <c r="R2" s="304"/>
      <c r="S2" s="304"/>
      <c r="T2" s="304"/>
      <c r="U2" s="304"/>
      <c r="V2" s="304"/>
      <c r="W2" s="304"/>
    </row>
    <row r="3" spans="1:23" s="3" customFormat="1" ht="26.25" customHeight="1">
      <c r="A3" s="305" t="s">
        <v>89</v>
      </c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28"/>
      <c r="M3" s="305" t="s">
        <v>89</v>
      </c>
      <c r="N3" s="306"/>
      <c r="O3" s="306"/>
      <c r="P3" s="306"/>
      <c r="Q3" s="306"/>
      <c r="R3" s="306"/>
      <c r="S3" s="306"/>
      <c r="T3" s="306"/>
      <c r="U3" s="306"/>
      <c r="V3" s="306"/>
      <c r="W3" s="306"/>
    </row>
    <row r="4" spans="1:23" s="3" customFormat="1" ht="45" customHeight="1">
      <c r="A4" s="307" t="s">
        <v>90</v>
      </c>
      <c r="B4" s="307"/>
      <c r="C4" s="308"/>
      <c r="D4" s="9"/>
      <c r="E4" s="9"/>
      <c r="F4" s="9"/>
      <c r="G4" s="10"/>
      <c r="H4" s="10"/>
      <c r="I4" s="309" t="s">
        <v>91</v>
      </c>
      <c r="J4" s="307"/>
      <c r="K4" s="308"/>
      <c r="L4" s="30"/>
      <c r="M4" s="307" t="s">
        <v>92</v>
      </c>
      <c r="N4" s="307"/>
      <c r="O4" s="308"/>
      <c r="P4" s="9"/>
      <c r="Q4" s="9"/>
      <c r="R4" s="9"/>
      <c r="S4" s="10"/>
      <c r="T4" s="10"/>
      <c r="U4" s="309" t="s">
        <v>93</v>
      </c>
      <c r="V4" s="307"/>
      <c r="W4" s="308"/>
    </row>
    <row r="5" spans="1:23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27"/>
      <c r="M5" s="42" t="s">
        <v>94</v>
      </c>
      <c r="N5" s="43" t="s">
        <v>95</v>
      </c>
      <c r="O5" s="46" t="s">
        <v>96</v>
      </c>
      <c r="U5" s="42" t="s">
        <v>94</v>
      </c>
      <c r="V5" s="43" t="s">
        <v>95</v>
      </c>
      <c r="W5" s="46" t="s">
        <v>96</v>
      </c>
    </row>
    <row r="6" spans="1:23">
      <c r="A6" s="106" t="s">
        <v>97</v>
      </c>
      <c r="B6">
        <v>13</v>
      </c>
      <c r="C6" s="1">
        <f>(0/(1+5%)^'Colorectal Benefit'!B6)</f>
        <v>0</v>
      </c>
      <c r="I6" t="s">
        <v>98</v>
      </c>
      <c r="J6">
        <v>18</v>
      </c>
      <c r="K6" s="1">
        <f>(0/(1+5%)^'Colorectal Benefit'!J6)</f>
        <v>0</v>
      </c>
      <c r="M6" t="s">
        <v>97</v>
      </c>
      <c r="N6">
        <v>13</v>
      </c>
      <c r="O6" s="57">
        <v>0</v>
      </c>
      <c r="U6" t="s">
        <v>98</v>
      </c>
      <c r="V6">
        <v>18</v>
      </c>
      <c r="W6" s="57">
        <v>0</v>
      </c>
    </row>
    <row r="7" spans="1:23">
      <c r="A7" s="106">
        <v>50</v>
      </c>
      <c r="B7">
        <v>14</v>
      </c>
      <c r="C7" s="1">
        <f>('Data &amp; PV'!$G$2/(1+3%)^'Colorectal Benefit'!B7)</f>
        <v>23002.304334926495</v>
      </c>
      <c r="I7">
        <v>55</v>
      </c>
      <c r="J7">
        <v>19</v>
      </c>
      <c r="K7" s="1">
        <f>('Data &amp; PV'!$G$2/(1+3%)^'Colorectal Benefit'!J7)</f>
        <v>19841.989780385535</v>
      </c>
      <c r="M7">
        <v>50</v>
      </c>
      <c r="N7">
        <v>14</v>
      </c>
      <c r="O7" s="57">
        <f>('Data &amp; PV'!$J$2/(1+0.03)^'Colorectal Benefit'!N7)</f>
        <v>1917.2416368739957</v>
      </c>
      <c r="U7">
        <v>55</v>
      </c>
      <c r="V7">
        <v>19</v>
      </c>
      <c r="W7" s="57">
        <f>('Data &amp; PV'!$J$2/(1+3%)^'Colorectal Benefit'!V7)</f>
        <v>1653.8294777545825</v>
      </c>
    </row>
    <row r="8" spans="1:23">
      <c r="A8" s="106">
        <v>51</v>
      </c>
      <c r="B8">
        <v>15</v>
      </c>
      <c r="C8" s="1">
        <f>('Data &amp; PV'!$G$2/(1+3%)^'Colorectal Benefit'!B8)</f>
        <v>22332.334305753877</v>
      </c>
      <c r="I8">
        <v>56</v>
      </c>
      <c r="J8">
        <v>20</v>
      </c>
      <c r="K8" s="1">
        <f>('Data &amp; PV'!$G$2/(1+3%)^'Colorectal Benefit'!J8)</f>
        <v>19264.06774794712</v>
      </c>
      <c r="M8">
        <v>51</v>
      </c>
      <c r="N8">
        <v>15</v>
      </c>
      <c r="O8" s="57">
        <f>('Data &amp; PV'!$J$2/(1+0.03)^'Colorectal Benefit'!N8)</f>
        <v>1861.3996474504813</v>
      </c>
      <c r="U8">
        <v>56</v>
      </c>
      <c r="V8">
        <v>20</v>
      </c>
      <c r="W8" s="57">
        <f>('Data &amp; PV'!$J$2/(1+3%)^'Colorectal Benefit'!V8)</f>
        <v>1605.6596871403715</v>
      </c>
    </row>
    <row r="9" spans="1:23">
      <c r="A9" s="106">
        <v>52</v>
      </c>
      <c r="B9">
        <v>16</v>
      </c>
      <c r="C9" s="1">
        <f>('Data &amp; PV'!$G$2/(1+3%)^'Colorectal Benefit'!B9)</f>
        <v>21681.877966751341</v>
      </c>
      <c r="I9">
        <v>57</v>
      </c>
      <c r="J9">
        <v>21</v>
      </c>
      <c r="K9" s="1">
        <f>('Data &amp; PV'!$G$2/(1+3%)^'Colorectal Benefit'!J9)</f>
        <v>18702.978396065166</v>
      </c>
      <c r="M9">
        <v>52</v>
      </c>
      <c r="N9">
        <v>16</v>
      </c>
      <c r="O9" s="57">
        <f>('Data &amp; PV'!$J$2/(1+0.03)^'Colorectal Benefit'!N9)</f>
        <v>1807.1841237383317</v>
      </c>
      <c r="U9">
        <v>57</v>
      </c>
      <c r="V9">
        <v>21</v>
      </c>
      <c r="W9" s="57">
        <f>('Data &amp; PV'!$J$2/(1+3%)^'Colorectal Benefit'!V9)</f>
        <v>1558.8929001362831</v>
      </c>
    </row>
    <row r="10" spans="1:23">
      <c r="A10" s="106">
        <v>53</v>
      </c>
      <c r="B10">
        <v>17</v>
      </c>
      <c r="C10" s="1">
        <f>('Data &amp; PV'!$G$2/(1+3%)^'Colorectal Benefit'!B10)</f>
        <v>21050.366958011011</v>
      </c>
      <c r="I10">
        <v>58</v>
      </c>
      <c r="J10">
        <v>22</v>
      </c>
      <c r="K10" s="1">
        <f>('Data &amp; PV'!$G$2/(1+3%)^'Colorectal Benefit'!J10)</f>
        <v>18158.23145249045</v>
      </c>
      <c r="M10">
        <v>53</v>
      </c>
      <c r="N10">
        <v>17</v>
      </c>
      <c r="O10" s="57">
        <f>('Data &amp; PV'!$J$2/(1+0.03)^'Colorectal Benefit'!N10)</f>
        <v>1754.5476929498366</v>
      </c>
      <c r="U10">
        <v>58</v>
      </c>
      <c r="V10">
        <v>22</v>
      </c>
      <c r="W10" s="57">
        <f>('Data &amp; PV'!$J$2/(1+3%)^'Colorectal Benefit'!V10)</f>
        <v>1513.4882525594981</v>
      </c>
    </row>
    <row r="11" spans="1:23">
      <c r="A11" s="106">
        <v>54</v>
      </c>
      <c r="B11">
        <v>18</v>
      </c>
      <c r="C11" s="1">
        <f>('Data &amp; PV'!$G$2/(1+3%)^'Colorectal Benefit'!B11)</f>
        <v>20437.249473797099</v>
      </c>
      <c r="I11">
        <v>59</v>
      </c>
      <c r="J11">
        <v>23</v>
      </c>
      <c r="K11" s="1">
        <f>('Data &amp; PV'!$G$2/(1+3%)^'Colorectal Benefit'!J11)</f>
        <v>17629.350924748011</v>
      </c>
      <c r="M11">
        <v>54</v>
      </c>
      <c r="N11">
        <v>18</v>
      </c>
      <c r="O11" s="57">
        <f>('Data &amp; PV'!$J$2/(1+0.03)^'Colorectal Benefit'!N11)</f>
        <v>1703.44436208722</v>
      </c>
      <c r="U11">
        <v>59</v>
      </c>
      <c r="V11">
        <v>23</v>
      </c>
      <c r="W11" s="57">
        <f>('Data &amp; PV'!$J$2/(1+3%)^'Colorectal Benefit'!V11)</f>
        <v>1469.4060704461144</v>
      </c>
    </row>
    <row r="12" spans="1:23" s="3" customFormat="1">
      <c r="A12" s="177" t="s">
        <v>99</v>
      </c>
      <c r="B12" s="177"/>
      <c r="C12" s="4">
        <f>SUM(C6:C11)</f>
        <v>108504.13303923982</v>
      </c>
      <c r="I12" s="177" t="s">
        <v>99</v>
      </c>
      <c r="J12" s="177"/>
      <c r="K12" s="4">
        <f>SUM(K6:K11)</f>
        <v>93596.618301636277</v>
      </c>
      <c r="M12" s="298" t="s">
        <v>99</v>
      </c>
      <c r="N12" s="298"/>
      <c r="O12" s="58">
        <f>SUM(O6:O11)</f>
        <v>9043.8174630998656</v>
      </c>
      <c r="U12" s="298" t="s">
        <v>99</v>
      </c>
      <c r="V12" s="298"/>
      <c r="W12" s="58">
        <f>SUM(W6:W11)</f>
        <v>7801.2763880368502</v>
      </c>
    </row>
    <row r="13" spans="1:23">
      <c r="O13" s="57"/>
      <c r="W13" s="57"/>
    </row>
    <row r="14" spans="1:23" ht="15.75" thickBot="1">
      <c r="O14" s="57"/>
      <c r="W14" s="57"/>
    </row>
    <row r="15" spans="1:23" ht="15.75" thickBot="1">
      <c r="O15" s="299" t="s">
        <v>100</v>
      </c>
      <c r="P15" s="300"/>
      <c r="Q15" s="300"/>
      <c r="R15" s="178">
        <f>O12-W12</f>
        <v>1242.5410750630153</v>
      </c>
      <c r="W15" s="57"/>
    </row>
    <row r="16" spans="1:23" ht="15.75" thickBot="1">
      <c r="C16" s="299" t="s">
        <v>101</v>
      </c>
      <c r="D16" s="300"/>
      <c r="E16" s="300"/>
      <c r="F16" s="53">
        <f>C12-K12</f>
        <v>14907.514737603546</v>
      </c>
      <c r="O16" s="57"/>
      <c r="W16" s="57"/>
    </row>
    <row r="17" spans="13:23" ht="16.5" customHeight="1">
      <c r="O17" s="57"/>
      <c r="W17" s="57"/>
    </row>
    <row r="18" spans="13:23">
      <c r="O18" s="57"/>
      <c r="U18" s="298"/>
      <c r="V18" s="298"/>
      <c r="W18" s="57"/>
    </row>
    <row r="19" spans="13:23">
      <c r="O19" s="57"/>
    </row>
    <row r="20" spans="13:23">
      <c r="O20" s="57"/>
    </row>
    <row r="21" spans="13:23">
      <c r="O21" s="57"/>
    </row>
    <row r="22" spans="13:23">
      <c r="O22" s="57"/>
      <c r="S22" s="57"/>
    </row>
    <row r="23" spans="13:23">
      <c r="M23" s="298"/>
      <c r="N23" s="298"/>
      <c r="O23" s="57"/>
    </row>
  </sheetData>
  <mergeCells count="14">
    <mergeCell ref="C16:E16"/>
    <mergeCell ref="A4:C4"/>
    <mergeCell ref="I4:K4"/>
    <mergeCell ref="A1:K2"/>
    <mergeCell ref="A3:K3"/>
    <mergeCell ref="M23:N23"/>
    <mergeCell ref="M12:N12"/>
    <mergeCell ref="U12:V12"/>
    <mergeCell ref="O15:Q15"/>
    <mergeCell ref="M1:W2"/>
    <mergeCell ref="M3:W3"/>
    <mergeCell ref="M4:O4"/>
    <mergeCell ref="U4:W4"/>
    <mergeCell ref="U18:V18"/>
  </mergeCells>
  <pageMargins left="0.7" right="0.7" top="0.75" bottom="0.75" header="0.3" footer="0.3"/>
  <pageSetup orientation="portrait" verticalDpi="1200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6"/>
  <sheetViews>
    <sheetView workbookViewId="0">
      <selection activeCell="W7" sqref="W7:W11"/>
    </sheetView>
  </sheetViews>
  <sheetFormatPr defaultColWidth="8.85546875" defaultRowHeight="15"/>
  <cols>
    <col min="3" max="3" width="13.85546875" style="1" bestFit="1" customWidth="1"/>
    <col min="7" max="7" width="13.85546875" bestFit="1" customWidth="1"/>
    <col min="11" max="11" width="13.85546875" style="1" bestFit="1" customWidth="1"/>
    <col min="15" max="15" width="9.140625" bestFit="1" customWidth="1"/>
    <col min="19" max="19" width="9.28515625" bestFit="1" customWidth="1"/>
    <col min="23" max="23" width="9.140625" bestFit="1" customWidth="1"/>
  </cols>
  <sheetData>
    <row r="1" spans="1:27">
      <c r="A1" s="301" t="s">
        <v>102</v>
      </c>
      <c r="B1" s="302"/>
      <c r="C1" s="302"/>
      <c r="D1" s="302"/>
      <c r="E1" s="302"/>
      <c r="F1" s="302"/>
      <c r="G1" s="302"/>
      <c r="H1" s="302"/>
      <c r="I1" s="302"/>
      <c r="J1" s="302"/>
      <c r="K1" s="314"/>
      <c r="M1" s="301" t="s">
        <v>103</v>
      </c>
      <c r="N1" s="302"/>
      <c r="O1" s="302"/>
      <c r="P1" s="302"/>
      <c r="Q1" s="302"/>
      <c r="R1" s="302"/>
      <c r="S1" s="302"/>
      <c r="T1" s="302"/>
      <c r="U1" s="302"/>
      <c r="V1" s="302"/>
      <c r="W1" s="302"/>
    </row>
    <row r="2" spans="1:27">
      <c r="A2" s="303"/>
      <c r="B2" s="304"/>
      <c r="C2" s="304"/>
      <c r="D2" s="304"/>
      <c r="E2" s="304"/>
      <c r="F2" s="304"/>
      <c r="G2" s="304"/>
      <c r="H2" s="304"/>
      <c r="I2" s="304"/>
      <c r="J2" s="304"/>
      <c r="K2" s="315"/>
      <c r="M2" s="303"/>
      <c r="N2" s="304"/>
      <c r="O2" s="304"/>
      <c r="P2" s="304"/>
      <c r="Q2" s="304"/>
      <c r="R2" s="304"/>
      <c r="S2" s="304"/>
      <c r="T2" s="304"/>
      <c r="U2" s="304"/>
      <c r="V2" s="304"/>
      <c r="W2" s="304"/>
    </row>
    <row r="3" spans="1:27" s="3" customFormat="1">
      <c r="A3" s="301" t="s">
        <v>89</v>
      </c>
      <c r="B3" s="302"/>
      <c r="C3" s="302"/>
      <c r="D3" s="302"/>
      <c r="E3" s="302"/>
      <c r="F3" s="302"/>
      <c r="G3" s="302"/>
      <c r="H3" s="302"/>
      <c r="I3" s="302"/>
      <c r="J3" s="302"/>
      <c r="K3" s="314"/>
      <c r="M3" s="305" t="s">
        <v>89</v>
      </c>
      <c r="N3" s="306"/>
      <c r="O3" s="306"/>
      <c r="P3" s="306"/>
      <c r="Q3" s="306"/>
      <c r="R3" s="306"/>
      <c r="S3" s="306"/>
      <c r="T3" s="306"/>
      <c r="U3" s="306"/>
      <c r="V3" s="306"/>
      <c r="W3" s="306"/>
    </row>
    <row r="4" spans="1:27" s="3" customFormat="1" ht="52.5" customHeight="1">
      <c r="A4" s="307" t="s">
        <v>104</v>
      </c>
      <c r="B4" s="307"/>
      <c r="C4" s="308"/>
      <c r="D4" s="9"/>
      <c r="E4" s="9"/>
      <c r="F4" s="9"/>
      <c r="G4" s="10"/>
      <c r="H4" s="10"/>
      <c r="I4" s="309" t="s">
        <v>105</v>
      </c>
      <c r="J4" s="307"/>
      <c r="K4" s="307"/>
      <c r="L4" s="6"/>
      <c r="M4" s="310" t="s">
        <v>106</v>
      </c>
      <c r="N4" s="310"/>
      <c r="O4" s="311"/>
      <c r="P4" s="9"/>
      <c r="Q4" s="9"/>
      <c r="R4" s="9"/>
      <c r="S4" s="10"/>
      <c r="T4" s="10"/>
      <c r="U4" s="309" t="s">
        <v>107</v>
      </c>
      <c r="V4" s="307"/>
      <c r="W4" s="308"/>
    </row>
    <row r="5" spans="1:27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M5" t="s">
        <v>94</v>
      </c>
      <c r="N5" t="s">
        <v>95</v>
      </c>
      <c r="O5" s="1" t="s">
        <v>96</v>
      </c>
      <c r="U5" t="s">
        <v>94</v>
      </c>
      <c r="V5" t="s">
        <v>95</v>
      </c>
      <c r="W5" s="1" t="s">
        <v>96</v>
      </c>
    </row>
    <row r="6" spans="1:27">
      <c r="A6" t="s">
        <v>98</v>
      </c>
      <c r="B6">
        <v>18</v>
      </c>
      <c r="C6" s="1">
        <f>(0/(1+5%)^'Heart Disease Benefit'!B6)</f>
        <v>0</v>
      </c>
      <c r="I6" t="s">
        <v>108</v>
      </c>
      <c r="J6">
        <v>23</v>
      </c>
      <c r="K6" s="1">
        <f>(0/(1+5%)^'Heart Disease Benefit'!J6)</f>
        <v>0</v>
      </c>
      <c r="M6" t="s">
        <v>98</v>
      </c>
      <c r="N6">
        <v>18</v>
      </c>
      <c r="O6" s="1">
        <f>(0/(1+5%)^tangheart13[[#This Row],[year]])</f>
        <v>0</v>
      </c>
      <c r="U6" t="s">
        <v>108</v>
      </c>
      <c r="V6">
        <v>23</v>
      </c>
      <c r="W6" s="1">
        <f>(0/(1+5%)^tangheart14[[#This Row],[year]])</f>
        <v>0</v>
      </c>
    </row>
    <row r="7" spans="1:27">
      <c r="A7">
        <v>55</v>
      </c>
      <c r="B7">
        <v>19</v>
      </c>
      <c r="C7" s="1">
        <f>('Data &amp; PV'!$G$3/(1+3%)^'Heart Disease Benefit'!B7)</f>
        <v>8457.2213765537217</v>
      </c>
      <c r="I7">
        <v>60</v>
      </c>
      <c r="J7">
        <v>24</v>
      </c>
      <c r="K7" s="1">
        <f>('Data &amp; PV'!$G$3/(1+3%)^'Heart Disease Benefit'!J7)</f>
        <v>7295.2734508967733</v>
      </c>
      <c r="M7">
        <v>55</v>
      </c>
      <c r="N7">
        <v>19</v>
      </c>
      <c r="O7" s="1">
        <f>('Data &amp; PV'!$J$3/(1+3%)^tangheart13[[#This Row],[year]])</f>
        <v>1951.5187837504075</v>
      </c>
      <c r="U7">
        <v>60</v>
      </c>
      <c r="V7">
        <v>24</v>
      </c>
      <c r="W7" s="1">
        <f>('Data &amp; PV'!$J$3/(1+3%)^tangheart14[[#This Row],[year]])</f>
        <v>1683.3972457538014</v>
      </c>
    </row>
    <row r="8" spans="1:27">
      <c r="A8">
        <v>56</v>
      </c>
      <c r="B8">
        <v>20</v>
      </c>
      <c r="C8" s="1">
        <f>('Data &amp; PV'!$G$3/(1+3%)^'Heart Disease Benefit'!B8)</f>
        <v>8210.8945403434209</v>
      </c>
      <c r="I8">
        <v>61</v>
      </c>
      <c r="J8">
        <v>25</v>
      </c>
      <c r="K8" s="1">
        <f>('Data &amp; PV'!$G$3/(1+3%)^'Heart Disease Benefit'!J8)</f>
        <v>7082.7897581522075</v>
      </c>
      <c r="M8">
        <v>56</v>
      </c>
      <c r="N8">
        <v>20</v>
      </c>
      <c r="O8" s="1">
        <f>('Data &amp; PV'!$J$3/(1+3%)^tangheart13[[#This Row],[year]])</f>
        <v>1894.6784308256383</v>
      </c>
      <c r="U8">
        <v>61</v>
      </c>
      <c r="V8">
        <v>25</v>
      </c>
      <c r="W8" s="1">
        <f>('Data &amp; PV'!$J$3/(1+3%)^tangheart14[[#This Row],[year]])</f>
        <v>1634.3662580133994</v>
      </c>
    </row>
    <row r="9" spans="1:27">
      <c r="A9">
        <v>57</v>
      </c>
      <c r="B9">
        <v>21</v>
      </c>
      <c r="C9" s="1">
        <f>('Data &amp; PV'!$G$3/(1+3%)^'Heart Disease Benefit'!B9)</f>
        <v>7971.7422721780786</v>
      </c>
      <c r="I9">
        <v>62</v>
      </c>
      <c r="J9">
        <v>26</v>
      </c>
      <c r="K9" s="1">
        <f>('Data &amp; PV'!$G$3/(1+3%)^'Heart Disease Benefit'!J9)</f>
        <v>6876.494910827385</v>
      </c>
      <c r="M9">
        <v>57</v>
      </c>
      <c r="N9">
        <v>21</v>
      </c>
      <c r="O9" s="1">
        <f>('Data &amp; PV'!$J$3/(1+3%)^tangheart13[[#This Row],[year]])</f>
        <v>1839.4936221608141</v>
      </c>
      <c r="U9">
        <v>62</v>
      </c>
      <c r="V9">
        <v>26</v>
      </c>
      <c r="W9" s="1">
        <f>('Data &amp; PV'!$J$3/(1+3%)^tangheart14[[#This Row],[year]])</f>
        <v>1586.7633572945622</v>
      </c>
    </row>
    <row r="10" spans="1:27">
      <c r="A10">
        <v>58</v>
      </c>
      <c r="B10">
        <v>22</v>
      </c>
      <c r="C10" s="1">
        <f>('Data &amp; PV'!$G$3/(1+3%)^'Heart Disease Benefit'!B10)</f>
        <v>7739.5556040563861</v>
      </c>
      <c r="I10">
        <v>63</v>
      </c>
      <c r="J10">
        <v>27</v>
      </c>
      <c r="K10" s="1">
        <f>('Data &amp; PV'!$G$3/(1+3%)^'Heart Disease Benefit'!J10)</f>
        <v>6676.2086512887236</v>
      </c>
      <c r="M10">
        <v>58</v>
      </c>
      <c r="N10">
        <v>22</v>
      </c>
      <c r="O10" s="1">
        <f>('Data &amp; PV'!$J$3/(1+3%)^tangheart13[[#This Row],[year]])</f>
        <v>1785.9161380202077</v>
      </c>
      <c r="U10">
        <v>63</v>
      </c>
      <c r="V10">
        <v>27</v>
      </c>
      <c r="W10" s="1">
        <f>('Data &amp; PV'!$J$3/(1+3%)^tangheart14[[#This Row],[year]])</f>
        <v>1540.5469488296724</v>
      </c>
    </row>
    <row r="11" spans="1:27">
      <c r="A11">
        <v>59</v>
      </c>
      <c r="B11">
        <v>23</v>
      </c>
      <c r="C11" s="1">
        <f>('Data &amp; PV'!$G$3/(1+3%)^'Heart Disease Benefit'!B11)</f>
        <v>7514.1316544236752</v>
      </c>
      <c r="I11">
        <v>64</v>
      </c>
      <c r="J11">
        <v>28</v>
      </c>
      <c r="K11" s="1">
        <f>('Data &amp; PV'!$G$3/(1+3%)^'Heart Disease Benefit'!J11)</f>
        <v>6481.7559721249745</v>
      </c>
      <c r="M11">
        <v>59</v>
      </c>
      <c r="N11">
        <v>23</v>
      </c>
      <c r="O11" s="1">
        <f>('Data &amp; PV'!$J$3/(1+3%)^tangheart13[[#This Row],[year]])</f>
        <v>1733.899163126415</v>
      </c>
      <c r="U11">
        <v>64</v>
      </c>
      <c r="V11">
        <v>28</v>
      </c>
      <c r="W11" s="1">
        <f>('Data &amp; PV'!$J$3/(1+3%)^tangheart14[[#This Row],[year]])</f>
        <v>1495.6766493491964</v>
      </c>
    </row>
    <row r="12" spans="1:27" s="3" customFormat="1">
      <c r="A12" s="177" t="s">
        <v>99</v>
      </c>
      <c r="B12" s="177"/>
      <c r="C12" s="4">
        <f>SUM(C6:C11)</f>
        <v>39893.545447555283</v>
      </c>
      <c r="I12" s="177" t="s">
        <v>99</v>
      </c>
      <c r="J12" s="177"/>
      <c r="K12" s="4">
        <f>SUM(K6:K11)</f>
        <v>34412.522743290072</v>
      </c>
      <c r="M12" s="177" t="s">
        <v>99</v>
      </c>
      <c r="N12" s="177"/>
      <c r="O12" s="4">
        <f>SUM(O6:O11)</f>
        <v>9205.5061378834816</v>
      </c>
      <c r="U12" s="177" t="s">
        <v>99</v>
      </c>
      <c r="V12" s="177"/>
      <c r="W12" s="4">
        <f>SUM(W6:W11)</f>
        <v>7940.7504592406312</v>
      </c>
    </row>
    <row r="13" spans="1:27">
      <c r="G13" s="79"/>
      <c r="H13" s="89"/>
      <c r="I13" s="79"/>
      <c r="J13" s="79"/>
      <c r="K13" s="79"/>
      <c r="L13" s="79"/>
      <c r="M13" s="79"/>
      <c r="N13" s="79"/>
    </row>
    <row r="14" spans="1:27">
      <c r="G14" s="79"/>
      <c r="H14" s="79"/>
      <c r="I14" s="79"/>
      <c r="J14" s="79"/>
      <c r="K14" s="89"/>
      <c r="L14" s="79"/>
      <c r="M14" s="79"/>
      <c r="U14" s="79"/>
      <c r="V14" s="89"/>
      <c r="W14" s="79"/>
      <c r="X14" s="79"/>
      <c r="Y14" s="79"/>
      <c r="Z14" s="79"/>
      <c r="AA14" s="79"/>
    </row>
    <row r="15" spans="1:27" ht="15.75" thickBot="1">
      <c r="U15" s="79"/>
      <c r="V15" s="79"/>
      <c r="W15" s="79"/>
      <c r="X15" s="79"/>
      <c r="Y15" s="89"/>
      <c r="Z15" s="79"/>
      <c r="AA15" s="79"/>
    </row>
    <row r="16" spans="1:27" ht="15.75" thickBot="1">
      <c r="D16" s="312" t="s">
        <v>101</v>
      </c>
      <c r="E16" s="313"/>
      <c r="F16" s="313"/>
      <c r="G16" s="53">
        <f>C12-K12</f>
        <v>5481.0227042652114</v>
      </c>
      <c r="P16" s="312" t="s">
        <v>109</v>
      </c>
      <c r="Q16" s="313"/>
      <c r="R16" s="313"/>
      <c r="S16" s="53">
        <f>O12-W12</f>
        <v>1264.7556786428504</v>
      </c>
    </row>
  </sheetData>
  <mergeCells count="10">
    <mergeCell ref="A1:K2"/>
    <mergeCell ref="I4:K4"/>
    <mergeCell ref="A4:C4"/>
    <mergeCell ref="A3:K3"/>
    <mergeCell ref="D16:F16"/>
    <mergeCell ref="M1:W2"/>
    <mergeCell ref="M3:W3"/>
    <mergeCell ref="M4:O4"/>
    <mergeCell ref="U4:W4"/>
    <mergeCell ref="P16:R16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5"/>
  <sheetViews>
    <sheetView zoomScale="80" zoomScaleNormal="80" workbookViewId="0">
      <pane xSplit="11" topLeftCell="L1" activePane="topRight" state="frozen"/>
      <selection pane="topRight" activeCell="P21" sqref="P21"/>
    </sheetView>
  </sheetViews>
  <sheetFormatPr defaultColWidth="8.85546875" defaultRowHeight="15"/>
  <cols>
    <col min="1" max="1" width="17.140625" customWidth="1"/>
    <col min="2" max="2" width="11" customWidth="1"/>
    <col min="3" max="3" width="15.85546875" style="1" bestFit="1" customWidth="1"/>
    <col min="4" max="6" width="11" customWidth="1"/>
    <col min="7" max="7" width="14.85546875" bestFit="1" customWidth="1"/>
    <col min="11" max="11" width="15.85546875" style="1" bestFit="1" customWidth="1"/>
    <col min="16" max="16" width="12" bestFit="1" customWidth="1"/>
    <col min="17" max="17" width="9.140625" customWidth="1"/>
    <col min="19" max="19" width="9.85546875" bestFit="1" customWidth="1"/>
    <col min="21" max="21" width="13" bestFit="1" customWidth="1"/>
    <col min="24" max="24" width="12" bestFit="1" customWidth="1"/>
  </cols>
  <sheetData>
    <row r="1" spans="1:24">
      <c r="A1" s="301" t="s">
        <v>110</v>
      </c>
      <c r="B1" s="302"/>
      <c r="C1" s="302" t="s">
        <v>111</v>
      </c>
      <c r="D1" s="302" t="s">
        <v>112</v>
      </c>
      <c r="E1" s="302"/>
      <c r="F1" s="302"/>
      <c r="G1" s="302"/>
      <c r="H1" s="302"/>
      <c r="I1" s="302"/>
      <c r="J1" s="302"/>
      <c r="K1" s="302"/>
      <c r="L1" s="316"/>
      <c r="M1" s="27"/>
      <c r="N1" s="301" t="s">
        <v>113</v>
      </c>
      <c r="O1" s="302"/>
      <c r="P1" s="302"/>
      <c r="Q1" s="302"/>
      <c r="R1" s="302"/>
      <c r="S1" s="302"/>
      <c r="T1" s="302"/>
      <c r="U1" s="302"/>
      <c r="V1" s="302"/>
      <c r="W1" s="302"/>
      <c r="X1" s="302"/>
    </row>
    <row r="2" spans="1:24">
      <c r="A2" s="303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16"/>
      <c r="M2" s="27"/>
      <c r="N2" s="303"/>
      <c r="O2" s="304"/>
      <c r="P2" s="304"/>
      <c r="Q2" s="304"/>
      <c r="R2" s="304"/>
      <c r="S2" s="304"/>
      <c r="T2" s="304"/>
      <c r="U2" s="304"/>
      <c r="V2" s="304"/>
      <c r="W2" s="304"/>
      <c r="X2" s="304"/>
    </row>
    <row r="3" spans="1:24" s="3" customFormat="1">
      <c r="A3" s="301" t="s">
        <v>89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180"/>
      <c r="M3" s="29"/>
      <c r="N3" s="305" t="s">
        <v>89</v>
      </c>
      <c r="O3" s="306"/>
      <c r="P3" s="306"/>
      <c r="Q3" s="306"/>
      <c r="R3" s="306"/>
      <c r="S3" s="306"/>
      <c r="T3" s="306"/>
      <c r="U3" s="306"/>
      <c r="V3" s="306"/>
      <c r="W3" s="306"/>
      <c r="X3" s="306"/>
    </row>
    <row r="4" spans="1:24" s="3" customFormat="1" ht="45.75" customHeight="1">
      <c r="A4" s="317" t="s">
        <v>114</v>
      </c>
      <c r="B4" s="318"/>
      <c r="C4" s="319"/>
      <c r="D4" s="44"/>
      <c r="E4" s="44"/>
      <c r="F4" s="44"/>
      <c r="G4" s="45"/>
      <c r="H4" s="45"/>
      <c r="I4" s="320" t="s">
        <v>115</v>
      </c>
      <c r="J4" s="318"/>
      <c r="K4" s="319"/>
      <c r="L4" s="182"/>
      <c r="M4" s="29"/>
      <c r="N4" s="307" t="s">
        <v>116</v>
      </c>
      <c r="O4" s="307"/>
      <c r="P4" s="308"/>
      <c r="Q4" s="9"/>
      <c r="R4" s="9"/>
      <c r="S4" s="9"/>
      <c r="T4" s="10"/>
      <c r="U4" s="10"/>
      <c r="V4" s="309" t="s">
        <v>117</v>
      </c>
      <c r="W4" s="307"/>
      <c r="X4" s="308"/>
    </row>
    <row r="5" spans="1:24">
      <c r="A5" s="18" t="s">
        <v>94</v>
      </c>
      <c r="B5" s="18" t="s">
        <v>95</v>
      </c>
      <c r="C5" s="19" t="s">
        <v>96</v>
      </c>
      <c r="D5" s="24"/>
      <c r="E5" s="25"/>
      <c r="F5" s="25"/>
      <c r="G5" s="25"/>
      <c r="H5" s="25"/>
      <c r="I5" s="22" t="s">
        <v>94</v>
      </c>
      <c r="J5" s="22" t="s">
        <v>95</v>
      </c>
      <c r="K5" s="23" t="s">
        <v>96</v>
      </c>
      <c r="L5" s="24"/>
      <c r="M5" s="27"/>
      <c r="N5" s="18" t="s">
        <v>94</v>
      </c>
      <c r="O5" s="18" t="s">
        <v>95</v>
      </c>
      <c r="P5" s="19" t="s">
        <v>96</v>
      </c>
      <c r="V5" s="18" t="s">
        <v>94</v>
      </c>
      <c r="W5" s="18" t="s">
        <v>95</v>
      </c>
      <c r="X5" s="19" t="s">
        <v>96</v>
      </c>
    </row>
    <row r="6" spans="1:24">
      <c r="A6" s="16" t="s">
        <v>118</v>
      </c>
      <c r="B6" s="14">
        <v>8</v>
      </c>
      <c r="C6" s="15">
        <f>(0/(1+5%)^'Colorectal Benefit'!B6)</f>
        <v>0</v>
      </c>
      <c r="D6" s="24"/>
      <c r="E6" s="25"/>
      <c r="F6" s="25"/>
      <c r="G6" s="25"/>
      <c r="H6" s="25"/>
      <c r="I6" t="s">
        <v>97</v>
      </c>
      <c r="J6">
        <v>13</v>
      </c>
      <c r="K6" s="1">
        <f>(0/(1+5%)^J6)</f>
        <v>0</v>
      </c>
      <c r="L6" s="27"/>
      <c r="M6" s="27"/>
      <c r="N6" s="16" t="s">
        <v>118</v>
      </c>
      <c r="O6" s="14">
        <v>8</v>
      </c>
      <c r="P6" s="13">
        <f>(0/(1+5%)^Table95[[#This Row],[year]])</f>
        <v>0</v>
      </c>
      <c r="V6" t="s">
        <v>97</v>
      </c>
      <c r="W6">
        <v>13</v>
      </c>
      <c r="X6" s="15">
        <f>(0/(1+5%)^Table914[[#This Row],[year]])</f>
        <v>0</v>
      </c>
    </row>
    <row r="7" spans="1:24">
      <c r="A7" s="17">
        <v>45</v>
      </c>
      <c r="B7" s="12">
        <v>9</v>
      </c>
      <c r="C7" s="13">
        <f>('Data &amp; PV'!$G$4/(1+3%)^B7)</f>
        <v>17615.003277081341</v>
      </c>
      <c r="D7" s="24"/>
      <c r="E7" s="25"/>
      <c r="F7" s="25"/>
      <c r="G7" s="25"/>
      <c r="H7" s="25"/>
      <c r="I7">
        <v>50</v>
      </c>
      <c r="J7">
        <v>14</v>
      </c>
      <c r="K7" s="1">
        <f>('Data &amp; PV'!$G$4/(1+3%)^J7)</f>
        <v>15194.856563766201</v>
      </c>
      <c r="N7" s="17">
        <v>45</v>
      </c>
      <c r="O7" s="12">
        <v>9</v>
      </c>
      <c r="P7" s="13">
        <f>('Data &amp; PV'!$J$4/(1+3%)^Table95[[#This Row],[year]])</f>
        <v>2889.3910809354734</v>
      </c>
      <c r="V7">
        <v>50</v>
      </c>
      <c r="W7">
        <v>14</v>
      </c>
      <c r="X7" s="15">
        <f>('Data &amp; PV'!$J$4/(1+3%)^Table914[[#This Row],[year]])</f>
        <v>2492.4141279361947</v>
      </c>
    </row>
    <row r="8" spans="1:24">
      <c r="A8" s="16">
        <v>46</v>
      </c>
      <c r="B8" s="14">
        <v>10</v>
      </c>
      <c r="C8" s="13">
        <f>('Data &amp; PV'!$G$4/(1+3%)^B8)</f>
        <v>17101.944929205187</v>
      </c>
      <c r="D8" s="24"/>
      <c r="E8" s="25"/>
      <c r="F8" s="25"/>
      <c r="G8" s="25"/>
      <c r="H8" s="25"/>
      <c r="I8">
        <v>51</v>
      </c>
      <c r="J8">
        <v>15</v>
      </c>
      <c r="K8" s="1">
        <f>('Data &amp; PV'!$G$4/(1+3%)^J8)</f>
        <v>14752.287925986604</v>
      </c>
      <c r="N8" s="16">
        <v>46</v>
      </c>
      <c r="O8" s="14">
        <v>10</v>
      </c>
      <c r="P8" s="13">
        <f>('Data &amp; PV'!$J$4/(1+3%)^Table95[[#This Row],[year]])</f>
        <v>2805.2340591606539</v>
      </c>
      <c r="V8">
        <v>51</v>
      </c>
      <c r="W8">
        <v>15</v>
      </c>
      <c r="X8" s="15">
        <f>('Data &amp; PV'!$J$4/(1+3%)^Table914[[#This Row],[year]])</f>
        <v>2419.8195416856256</v>
      </c>
    </row>
    <row r="9" spans="1:24">
      <c r="A9" s="17">
        <v>47</v>
      </c>
      <c r="B9" s="12">
        <v>11</v>
      </c>
      <c r="C9" s="13">
        <f>('Data &amp; PV'!$G$4/(1+3%)^B9)</f>
        <v>16603.83002835455</v>
      </c>
      <c r="D9" s="24"/>
      <c r="E9" s="25"/>
      <c r="F9" s="25"/>
      <c r="G9" s="25"/>
      <c r="H9" s="25"/>
      <c r="I9">
        <v>52</v>
      </c>
      <c r="J9">
        <v>16</v>
      </c>
      <c r="K9" s="1">
        <f>('Data &amp; PV'!$G$4/(1+3%)^J9)</f>
        <v>14322.609636880199</v>
      </c>
      <c r="N9" s="17">
        <v>47</v>
      </c>
      <c r="O9" s="12">
        <v>11</v>
      </c>
      <c r="P9" s="13">
        <f>('Data &amp; PV'!$J$4/(1+3%)^Table95[[#This Row],[year]])</f>
        <v>2723.5282127773339</v>
      </c>
      <c r="T9" s="25"/>
      <c r="U9" s="25"/>
      <c r="V9">
        <v>52</v>
      </c>
      <c r="W9">
        <v>16</v>
      </c>
      <c r="X9" s="15">
        <f>('Data &amp; PV'!$J$4/(1+3%)^Table914[[#This Row],[year]])</f>
        <v>2349.3393608598312</v>
      </c>
    </row>
    <row r="10" spans="1:24">
      <c r="A10" s="17">
        <v>48</v>
      </c>
      <c r="B10" s="14">
        <v>12</v>
      </c>
      <c r="C10" s="13">
        <f>('Data &amp; PV'!$G$4/(1+3%)^B10)</f>
        <v>16120.223328499565</v>
      </c>
      <c r="D10" s="24"/>
      <c r="E10" s="25"/>
      <c r="F10" s="25"/>
      <c r="G10" s="25"/>
      <c r="H10" s="25"/>
      <c r="I10">
        <v>53</v>
      </c>
      <c r="J10">
        <v>17</v>
      </c>
      <c r="K10" s="1">
        <f>('Data &amp; PV'!$G$4/(1+3%)^J10)</f>
        <v>13905.446249398252</v>
      </c>
      <c r="N10" s="17">
        <v>48</v>
      </c>
      <c r="O10" s="14">
        <v>12</v>
      </c>
      <c r="P10" s="13">
        <f>('Data &amp; PV'!$J$4/(1+3%)^Table95[[#This Row],[year]])</f>
        <v>2644.2021483275089</v>
      </c>
      <c r="T10" s="25"/>
      <c r="U10" s="25"/>
      <c r="V10">
        <v>53</v>
      </c>
      <c r="W10">
        <v>17</v>
      </c>
      <c r="X10" s="15">
        <f>('Data &amp; PV'!$J$4/(1+3%)^Table914[[#This Row],[year]])</f>
        <v>2280.9120008347877</v>
      </c>
    </row>
    <row r="11" spans="1:24">
      <c r="A11" s="16">
        <v>49</v>
      </c>
      <c r="B11" s="12">
        <v>13</v>
      </c>
      <c r="C11" s="13">
        <f>('Data &amp; PV'!$G$4/(1+3%)^B11)</f>
        <v>15650.702260679191</v>
      </c>
      <c r="D11" s="24"/>
      <c r="E11" s="25"/>
      <c r="F11" s="25"/>
      <c r="G11" s="25"/>
      <c r="H11" s="25"/>
      <c r="I11">
        <v>54</v>
      </c>
      <c r="J11">
        <v>18</v>
      </c>
      <c r="K11" s="1">
        <f>('Data &amp; PV'!$G$4/(1+3%)^J11)</f>
        <v>13500.433251842964</v>
      </c>
      <c r="N11" s="16">
        <v>49</v>
      </c>
      <c r="O11" s="12">
        <v>13</v>
      </c>
      <c r="P11" s="13">
        <f>('Data &amp; PV'!$J$4/(1+3%)^Table95[[#This Row],[year]])</f>
        <v>2567.1865517742808</v>
      </c>
      <c r="T11" s="25"/>
      <c r="U11" s="25"/>
      <c r="V11">
        <v>54</v>
      </c>
      <c r="W11">
        <v>18</v>
      </c>
      <c r="X11" s="15">
        <f>('Data &amp; PV'!$J$4/(1+3%)^Table914[[#This Row],[year]])</f>
        <v>2214.477670713386</v>
      </c>
    </row>
    <row r="12" spans="1:24">
      <c r="A12" s="17">
        <v>50</v>
      </c>
      <c r="B12" s="14">
        <v>14</v>
      </c>
      <c r="C12" s="13">
        <f>('Data &amp; PV'!$G$4/(1+3%)^B12)</f>
        <v>15194.856563766201</v>
      </c>
      <c r="D12" s="24"/>
      <c r="E12" s="25"/>
      <c r="F12" s="25"/>
      <c r="G12" s="25"/>
      <c r="H12" s="25"/>
      <c r="I12">
        <v>55</v>
      </c>
      <c r="J12">
        <v>19</v>
      </c>
      <c r="K12" s="1">
        <f>('Data &amp; PV'!$G$4/(1+3%)^J12)</f>
        <v>13107.2167493621</v>
      </c>
      <c r="N12" s="17">
        <v>50</v>
      </c>
      <c r="O12" s="14">
        <v>14</v>
      </c>
      <c r="P12" s="13">
        <f>('Data &amp; PV'!$J$4/(1+3%)^Table95[[#This Row],[year]])</f>
        <v>2492.4141279361947</v>
      </c>
      <c r="T12" s="25"/>
      <c r="U12" s="25"/>
      <c r="V12">
        <v>55</v>
      </c>
      <c r="W12">
        <v>19</v>
      </c>
      <c r="X12" s="15">
        <f>('Data &amp; PV'!$J$4/(1+3%)^Table914[[#This Row],[year]])</f>
        <v>2149.9783210809574</v>
      </c>
    </row>
    <row r="13" spans="1:24">
      <c r="A13" s="17">
        <v>51</v>
      </c>
      <c r="B13" s="12">
        <v>15</v>
      </c>
      <c r="C13" s="13">
        <f>('Data &amp; PV'!$G$4/(1+3%)^B13)</f>
        <v>14752.287925986604</v>
      </c>
      <c r="D13" s="24"/>
      <c r="E13" s="25"/>
      <c r="F13" s="25"/>
      <c r="G13" s="25"/>
      <c r="H13" s="25"/>
      <c r="I13">
        <v>56</v>
      </c>
      <c r="J13">
        <v>20</v>
      </c>
      <c r="K13" s="1">
        <f>('Data &amp; PV'!$G$4/(1+3%)^J13)</f>
        <v>12725.453154720486</v>
      </c>
      <c r="N13" s="17">
        <v>51</v>
      </c>
      <c r="O13" s="12">
        <v>15</v>
      </c>
      <c r="P13" s="13">
        <f>('Data &amp; PV'!$J$4/(1+3%)^Table95[[#This Row],[year]])</f>
        <v>2419.8195416856256</v>
      </c>
      <c r="Q13" s="24"/>
      <c r="R13" s="24"/>
      <c r="S13" s="31"/>
      <c r="T13" s="25"/>
      <c r="U13" s="25"/>
      <c r="V13">
        <v>56</v>
      </c>
      <c r="W13">
        <v>20</v>
      </c>
      <c r="X13" s="15">
        <f>('Data &amp; PV'!$J$4/(1+3%)^Table914[[#This Row],[year]])</f>
        <v>2087.3575932824829</v>
      </c>
    </row>
    <row r="14" spans="1:24">
      <c r="A14" s="16">
        <v>52</v>
      </c>
      <c r="B14" s="14">
        <v>16</v>
      </c>
      <c r="C14" s="13">
        <f>('Data &amp; PV'!$G$4/(1+3%)^B14)</f>
        <v>14322.609636880199</v>
      </c>
      <c r="D14" s="24"/>
      <c r="E14" s="25"/>
      <c r="F14" s="25"/>
      <c r="G14" s="25"/>
      <c r="H14" s="25"/>
      <c r="I14">
        <v>57</v>
      </c>
      <c r="J14">
        <v>21</v>
      </c>
      <c r="K14" s="1">
        <f>('Data &amp; PV'!$G$4/(1+3%)^J14)</f>
        <v>12354.808888078143</v>
      </c>
      <c r="N14" s="16">
        <v>52</v>
      </c>
      <c r="O14" s="14">
        <v>16</v>
      </c>
      <c r="P14" s="13">
        <f>('Data &amp; PV'!$J$4/(1+3%)^Table95[[#This Row],[year]])</f>
        <v>2349.3393608598312</v>
      </c>
      <c r="Q14" s="32"/>
      <c r="R14" s="24"/>
      <c r="S14" s="31"/>
      <c r="T14" s="25"/>
      <c r="U14" s="25"/>
      <c r="V14">
        <v>57</v>
      </c>
      <c r="W14">
        <v>21</v>
      </c>
      <c r="X14" s="15">
        <f>('Data &amp; PV'!$J$4/(1+3%)^Table914[[#This Row],[year]])</f>
        <v>2026.560770177168</v>
      </c>
    </row>
    <row r="15" spans="1:24">
      <c r="A15" s="17">
        <v>53</v>
      </c>
      <c r="B15" s="12">
        <v>17</v>
      </c>
      <c r="C15" s="13">
        <f>('Data &amp; PV'!$G$4/(1+3%)^B15)</f>
        <v>13905.446249398252</v>
      </c>
      <c r="D15" s="24"/>
      <c r="E15" s="25"/>
      <c r="F15" s="25"/>
      <c r="G15" s="25"/>
      <c r="H15" s="25"/>
      <c r="I15">
        <v>58</v>
      </c>
      <c r="J15">
        <v>22</v>
      </c>
      <c r="K15" s="1">
        <f>('Data &amp; PV'!$G$4/(1+3%)^J15)</f>
        <v>11994.960085512759</v>
      </c>
      <c r="N15" s="17">
        <v>53</v>
      </c>
      <c r="O15" s="12">
        <v>17</v>
      </c>
      <c r="P15" s="13">
        <f>('Data &amp; PV'!$J$4/(1+3%)^Table95[[#This Row],[year]])</f>
        <v>2280.9120008347877</v>
      </c>
      <c r="Q15" s="32"/>
      <c r="R15" s="24"/>
      <c r="S15" s="31"/>
      <c r="T15" s="25"/>
      <c r="U15" s="25"/>
      <c r="V15">
        <v>58</v>
      </c>
      <c r="W15">
        <v>22</v>
      </c>
      <c r="X15" s="15">
        <f>('Data &amp; PV'!$J$4/(1+3%)^Table914[[#This Row],[year]])</f>
        <v>1967.5347283273475</v>
      </c>
    </row>
    <row r="16" spans="1:24">
      <c r="A16" s="17">
        <v>54</v>
      </c>
      <c r="B16" s="14">
        <v>18</v>
      </c>
      <c r="C16" s="13">
        <f>('Data &amp; PV'!$G$4/(1+3%)^B16)</f>
        <v>13500.433251842964</v>
      </c>
      <c r="D16" s="24"/>
      <c r="E16" s="25"/>
      <c r="F16" s="25"/>
      <c r="G16" s="25"/>
      <c r="H16" s="25"/>
      <c r="I16">
        <v>59</v>
      </c>
      <c r="J16">
        <v>23</v>
      </c>
      <c r="K16" s="1">
        <f>('Data &amp; PV'!$G$4/(1+3%)^J16)</f>
        <v>11645.592316031805</v>
      </c>
      <c r="N16" s="17">
        <v>54</v>
      </c>
      <c r="O16" s="14">
        <v>18</v>
      </c>
      <c r="P16" s="13">
        <f>('Data &amp; PV'!$J$4/(1+3%)^Table95[[#This Row],[year]])</f>
        <v>2214.477670713386</v>
      </c>
      <c r="Q16" s="32"/>
      <c r="R16" s="24"/>
      <c r="S16" s="31"/>
      <c r="T16" s="25"/>
      <c r="U16" s="25"/>
      <c r="V16">
        <v>59</v>
      </c>
      <c r="W16">
        <v>23</v>
      </c>
      <c r="X16" s="15">
        <f>('Data &amp; PV'!$J$4/(1+3%)^Table914[[#This Row],[year]])</f>
        <v>1910.2278915799488</v>
      </c>
    </row>
    <row r="17" spans="1:24" s="3" customFormat="1" ht="15.75" thickBot="1">
      <c r="A17" s="20" t="s">
        <v>119</v>
      </c>
      <c r="B17" s="20"/>
      <c r="C17" s="21">
        <f>SUM(C6:C16)</f>
        <v>154767.33745169404</v>
      </c>
      <c r="D17" s="26"/>
      <c r="E17" s="26"/>
      <c r="F17" s="26"/>
      <c r="G17" s="26"/>
      <c r="H17" s="26"/>
      <c r="I17" s="3" t="s">
        <v>119</v>
      </c>
      <c r="K17" s="4">
        <f>SUM(K6:K16)</f>
        <v>133503.66482157953</v>
      </c>
      <c r="N17" s="20" t="s">
        <v>119</v>
      </c>
      <c r="O17" s="20"/>
      <c r="P17" s="21">
        <f>SUM(P6:P16)</f>
        <v>25386.504755005077</v>
      </c>
      <c r="Q17" s="32"/>
      <c r="R17" s="24"/>
      <c r="S17" s="31"/>
      <c r="T17" s="24"/>
      <c r="V17" s="20" t="s">
        <v>119</v>
      </c>
      <c r="W17" s="20"/>
      <c r="X17" s="21">
        <f>SUM(X6:X16)</f>
        <v>21898.62200647773</v>
      </c>
    </row>
    <row r="18" spans="1:24" ht="15.75" thickBot="1">
      <c r="D18" s="312" t="s">
        <v>101</v>
      </c>
      <c r="E18" s="313"/>
      <c r="F18" s="313"/>
      <c r="G18" s="53">
        <f>C17-K17</f>
        <v>21263.67263011451</v>
      </c>
      <c r="Q18" s="312" t="s">
        <v>120</v>
      </c>
      <c r="R18" s="313"/>
      <c r="S18" s="313"/>
      <c r="T18" s="53"/>
      <c r="U18" s="179">
        <f>P17-X17</f>
        <v>3487.8827485273468</v>
      </c>
    </row>
    <row r="19" spans="1:24">
      <c r="Q19" s="32"/>
      <c r="R19" s="24"/>
      <c r="S19" s="31"/>
      <c r="T19" s="24"/>
    </row>
    <row r="20" spans="1:24">
      <c r="Q20" s="32"/>
      <c r="R20" s="24"/>
      <c r="S20" s="31"/>
      <c r="T20" s="24"/>
    </row>
    <row r="21" spans="1:24">
      <c r="Q21" s="32"/>
      <c r="R21" s="24"/>
      <c r="S21" s="31"/>
      <c r="T21" s="24"/>
    </row>
    <row r="22" spans="1:24" ht="21.75" customHeight="1">
      <c r="A22" s="6"/>
      <c r="B22" s="6"/>
      <c r="C22" s="6"/>
      <c r="D22" s="6"/>
      <c r="E22" s="6"/>
      <c r="F22" s="6"/>
      <c r="T22" s="24"/>
    </row>
    <row r="23" spans="1:24">
      <c r="Q23" s="32"/>
      <c r="R23" s="24"/>
      <c r="S23" s="31"/>
      <c r="T23" s="24"/>
    </row>
    <row r="24" spans="1:24">
      <c r="Q24" s="32"/>
      <c r="R24" s="24"/>
      <c r="S24" s="31"/>
      <c r="T24" s="24"/>
    </row>
    <row r="25" spans="1:24">
      <c r="Q25" s="26"/>
      <c r="R25" s="26"/>
      <c r="S25" s="33"/>
      <c r="T25" s="26"/>
    </row>
  </sheetData>
  <mergeCells count="11">
    <mergeCell ref="D18:F18"/>
    <mergeCell ref="A1:K2"/>
    <mergeCell ref="L1:L2"/>
    <mergeCell ref="A3:K3"/>
    <mergeCell ref="A4:C4"/>
    <mergeCell ref="I4:K4"/>
    <mergeCell ref="Q18:S18"/>
    <mergeCell ref="N1:X2"/>
    <mergeCell ref="N3:X3"/>
    <mergeCell ref="N4:P4"/>
    <mergeCell ref="V4:X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9"/>
  <sheetViews>
    <sheetView workbookViewId="0">
      <selection activeCell="X7" sqref="X7:X26"/>
    </sheetView>
  </sheetViews>
  <sheetFormatPr defaultColWidth="8.85546875" defaultRowHeight="15"/>
  <cols>
    <col min="3" max="3" width="13.85546875" style="1" bestFit="1" customWidth="1"/>
    <col min="7" max="7" width="12.7109375" bestFit="1" customWidth="1"/>
    <col min="11" max="11" width="13.85546875" style="1" bestFit="1" customWidth="1"/>
    <col min="17" max="17" width="10.140625" bestFit="1" customWidth="1"/>
    <col min="19" max="19" width="11.28515625" bestFit="1" customWidth="1"/>
    <col min="24" max="24" width="10.140625" bestFit="1" customWidth="1"/>
  </cols>
  <sheetData>
    <row r="1" spans="1:28">
      <c r="A1" s="301" t="s">
        <v>121</v>
      </c>
      <c r="B1" s="302"/>
      <c r="C1" s="302"/>
      <c r="D1" s="302"/>
      <c r="E1" s="302"/>
      <c r="F1" s="302"/>
      <c r="G1" s="302"/>
      <c r="H1" s="302"/>
      <c r="I1" s="302"/>
      <c r="J1" s="302"/>
      <c r="K1" s="314"/>
      <c r="L1" s="321"/>
      <c r="O1" s="301" t="s">
        <v>122</v>
      </c>
      <c r="P1" s="302"/>
      <c r="Q1" s="302"/>
      <c r="R1" s="302"/>
      <c r="S1" s="302"/>
      <c r="T1" s="302"/>
      <c r="U1" s="302"/>
      <c r="V1" s="302"/>
      <c r="W1" s="302"/>
      <c r="X1" s="302"/>
      <c r="Y1" s="302"/>
    </row>
    <row r="2" spans="1:28">
      <c r="A2" s="303"/>
      <c r="B2" s="304"/>
      <c r="C2" s="304"/>
      <c r="D2" s="304"/>
      <c r="E2" s="304"/>
      <c r="F2" s="304"/>
      <c r="G2" s="304"/>
      <c r="H2" s="304"/>
      <c r="I2" s="304"/>
      <c r="J2" s="304"/>
      <c r="K2" s="315"/>
      <c r="L2" s="322"/>
      <c r="O2" s="303"/>
      <c r="P2" s="304"/>
      <c r="Q2" s="304"/>
      <c r="R2" s="304"/>
      <c r="S2" s="304"/>
      <c r="T2" s="304"/>
      <c r="U2" s="304"/>
      <c r="V2" s="304"/>
      <c r="W2" s="304"/>
      <c r="X2" s="304"/>
      <c r="Y2" s="304"/>
    </row>
    <row r="3" spans="1:28" s="3" customFormat="1">
      <c r="A3" s="301" t="s">
        <v>89</v>
      </c>
      <c r="B3" s="302"/>
      <c r="C3" s="302"/>
      <c r="D3" s="302"/>
      <c r="E3" s="302"/>
      <c r="F3" s="302"/>
      <c r="G3" s="302"/>
      <c r="H3" s="302"/>
      <c r="I3" s="302"/>
      <c r="J3" s="302"/>
      <c r="K3" s="314"/>
      <c r="L3" s="181"/>
      <c r="O3" s="305" t="s">
        <v>89</v>
      </c>
      <c r="P3" s="306"/>
      <c r="Q3" s="306"/>
      <c r="R3" s="306"/>
      <c r="S3" s="306"/>
      <c r="T3" s="306"/>
      <c r="U3" s="306"/>
      <c r="V3" s="306"/>
      <c r="W3" s="306"/>
      <c r="X3" s="306"/>
      <c r="Y3" s="306"/>
    </row>
    <row r="4" spans="1:28" s="3" customFormat="1" ht="55.5" customHeight="1">
      <c r="A4" s="323" t="s">
        <v>123</v>
      </c>
      <c r="B4" s="323"/>
      <c r="C4" s="324"/>
      <c r="D4" s="9"/>
      <c r="E4" s="9"/>
      <c r="F4" s="9"/>
      <c r="G4" s="10"/>
      <c r="H4" s="10"/>
      <c r="I4" s="325" t="s">
        <v>124</v>
      </c>
      <c r="J4" s="323"/>
      <c r="K4" s="323"/>
      <c r="L4" s="34"/>
      <c r="O4" s="307" t="s">
        <v>125</v>
      </c>
      <c r="P4" s="307"/>
      <c r="Q4" s="308"/>
      <c r="R4" s="9"/>
      <c r="S4" s="9"/>
      <c r="T4" s="9"/>
      <c r="U4" s="10"/>
      <c r="V4" s="10"/>
      <c r="W4" s="309" t="s">
        <v>126</v>
      </c>
      <c r="X4" s="307"/>
      <c r="Y4" s="308"/>
    </row>
    <row r="5" spans="1:28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90"/>
      <c r="M5" s="79"/>
      <c r="N5" s="79"/>
      <c r="O5" t="s">
        <v>94</v>
      </c>
      <c r="P5" t="s">
        <v>95</v>
      </c>
      <c r="Q5" s="1" t="s">
        <v>96</v>
      </c>
      <c r="V5" t="s">
        <v>94</v>
      </c>
      <c r="W5" t="s">
        <v>95</v>
      </c>
      <c r="X5" s="1" t="s">
        <v>96</v>
      </c>
    </row>
    <row r="6" spans="1:28">
      <c r="A6" s="106" t="s">
        <v>127</v>
      </c>
      <c r="B6">
        <v>5</v>
      </c>
      <c r="C6" s="1">
        <f>(0/(1+5%)^B6)</f>
        <v>0</v>
      </c>
      <c r="D6" s="79"/>
      <c r="E6" s="79"/>
      <c r="F6" s="79"/>
      <c r="I6" t="s">
        <v>128</v>
      </c>
      <c r="J6">
        <v>10</v>
      </c>
      <c r="K6" s="1">
        <f>(0/(1+5%)^J6)</f>
        <v>0</v>
      </c>
      <c r="L6" s="79"/>
      <c r="M6" s="79"/>
      <c r="N6" s="79"/>
      <c r="O6" s="106" t="s">
        <v>127</v>
      </c>
      <c r="P6">
        <v>5</v>
      </c>
      <c r="Q6" s="1">
        <f>(0/(1+5%)^Table1116[[#This Row],[year]])</f>
        <v>0</v>
      </c>
      <c r="R6" s="90"/>
      <c r="S6" s="79"/>
      <c r="T6" s="79"/>
      <c r="V6" t="s">
        <v>128</v>
      </c>
      <c r="W6">
        <v>10</v>
      </c>
      <c r="X6" s="1">
        <f>(0/(1+5%)^Table1221[[#This Row],[year]])</f>
        <v>0</v>
      </c>
      <c r="Z6" s="79"/>
      <c r="AA6" s="79"/>
      <c r="AB6" s="79"/>
    </row>
    <row r="7" spans="1:28">
      <c r="A7" s="106">
        <v>42</v>
      </c>
      <c r="B7">
        <v>6</v>
      </c>
      <c r="C7" s="1">
        <f>('Data &amp; PV'!$G$5/(1+3%)^B7)</f>
        <v>673.92400177043351</v>
      </c>
      <c r="D7" s="79"/>
      <c r="E7" s="79"/>
      <c r="F7" s="79"/>
      <c r="I7">
        <v>47</v>
      </c>
      <c r="J7">
        <v>11</v>
      </c>
      <c r="K7" s="1">
        <f>('Data &amp; PV'!$G$5/(1+3%)^J7)</f>
        <v>581.33276393450478</v>
      </c>
      <c r="L7" s="79"/>
      <c r="M7" s="79"/>
      <c r="N7" s="79"/>
      <c r="O7" s="106">
        <v>42</v>
      </c>
      <c r="P7">
        <v>6</v>
      </c>
      <c r="Q7" s="1">
        <f>('Data &amp; PV'!$J$5/(1+3%)^Table1116[[#This Row],[year]])</f>
        <v>1942.9634755060783</v>
      </c>
      <c r="R7" s="79"/>
      <c r="S7" s="79"/>
      <c r="T7" s="79"/>
      <c r="V7">
        <v>47</v>
      </c>
      <c r="W7">
        <v>11</v>
      </c>
      <c r="X7" s="1">
        <f>('Data &amp; PV'!$J$5/(1+3%)^Table1221[[#This Row],[year]])</f>
        <v>1676.0173617091286</v>
      </c>
      <c r="Z7" s="79"/>
      <c r="AA7" s="79"/>
      <c r="AB7" s="79"/>
    </row>
    <row r="8" spans="1:28">
      <c r="A8" s="106">
        <v>43</v>
      </c>
      <c r="B8">
        <v>7</v>
      </c>
      <c r="C8" s="1">
        <f>('Data &amp; PV'!$G$5/(1+3%)^B8)</f>
        <v>654.29514734993541</v>
      </c>
      <c r="D8" s="79"/>
      <c r="E8" s="79"/>
      <c r="F8" s="79"/>
      <c r="I8">
        <v>48</v>
      </c>
      <c r="J8">
        <v>12</v>
      </c>
      <c r="K8" s="1">
        <f>('Data &amp; PV'!$G$5/(1+3%)^J8)</f>
        <v>564.4007416839853</v>
      </c>
      <c r="O8" s="106">
        <v>43</v>
      </c>
      <c r="P8">
        <v>7</v>
      </c>
      <c r="Q8" s="1">
        <f>('Data &amp; PV'!$J$5/(1+3%)^Table1116[[#This Row],[year]])</f>
        <v>1886.3723063165808</v>
      </c>
      <c r="R8" s="79"/>
      <c r="S8" s="79"/>
      <c r="T8" s="79"/>
      <c r="V8">
        <v>48</v>
      </c>
      <c r="W8">
        <v>12</v>
      </c>
      <c r="X8" s="1">
        <f>('Data &amp; PV'!$J$5/(1+3%)^Table1221[[#This Row],[year]])</f>
        <v>1627.2013220476979</v>
      </c>
      <c r="Z8" s="79"/>
      <c r="AA8" s="79"/>
      <c r="AB8" s="79"/>
    </row>
    <row r="9" spans="1:28">
      <c r="A9" s="106">
        <v>44</v>
      </c>
      <c r="B9">
        <v>8</v>
      </c>
      <c r="C9" s="1">
        <f>('Data &amp; PV'!$G$5/(1+3%)^B9)</f>
        <v>635.23800713585968</v>
      </c>
      <c r="I9">
        <v>49</v>
      </c>
      <c r="J9">
        <v>13</v>
      </c>
      <c r="K9" s="1">
        <f>('Data &amp; PV'!$G$5/(1+3%)^J9)</f>
        <v>547.96188513008292</v>
      </c>
      <c r="O9" s="106">
        <v>44</v>
      </c>
      <c r="P9">
        <v>8</v>
      </c>
      <c r="Q9" s="1">
        <f>('Data &amp; PV'!$J$5/(1+3%)^Table1116[[#This Row],[year]])</f>
        <v>1831.429423608331</v>
      </c>
      <c r="V9">
        <v>49</v>
      </c>
      <c r="W9">
        <v>13</v>
      </c>
      <c r="X9" s="1">
        <f>('Data &amp; PV'!$J$5/(1+3%)^Table1221[[#This Row],[year]])</f>
        <v>1579.8071087841727</v>
      </c>
    </row>
    <row r="10" spans="1:28">
      <c r="A10" s="106">
        <v>45</v>
      </c>
      <c r="B10">
        <v>9</v>
      </c>
      <c r="C10" s="1">
        <f>('Data &amp; PV'!$G$5/(1+3%)^B10)</f>
        <v>616.73592925811613</v>
      </c>
      <c r="I10">
        <v>50</v>
      </c>
      <c r="J10">
        <v>14</v>
      </c>
      <c r="K10" s="1">
        <f>('Data &amp; PV'!$G$5/(1+3%)^J10)</f>
        <v>532.00183022338138</v>
      </c>
      <c r="O10" s="106">
        <v>45</v>
      </c>
      <c r="P10">
        <v>9</v>
      </c>
      <c r="Q10" s="1">
        <f>('Data &amp; PV'!$J$5/(1+3%)^Table1116[[#This Row],[year]])</f>
        <v>1778.0868190372146</v>
      </c>
      <c r="V10">
        <v>50</v>
      </c>
      <c r="W10">
        <v>14</v>
      </c>
      <c r="X10" s="1">
        <f>('Data &amp; PV'!$J$5/(1+3%)^Table1221[[#This Row],[year]])</f>
        <v>1533.7933094991968</v>
      </c>
    </row>
    <row r="11" spans="1:28">
      <c r="A11" s="106">
        <v>46</v>
      </c>
      <c r="B11">
        <v>10</v>
      </c>
      <c r="C11" s="1">
        <f>('Data &amp; PV'!$G$5/(1+3%)^B11)</f>
        <v>598.77274685253997</v>
      </c>
      <c r="I11">
        <v>51</v>
      </c>
      <c r="J11">
        <v>15</v>
      </c>
      <c r="K11" s="1">
        <f>('Data &amp; PV'!$G$5/(1+3%)^J11)</f>
        <v>516.5066312848362</v>
      </c>
      <c r="O11" s="106">
        <v>46</v>
      </c>
      <c r="P11">
        <v>10</v>
      </c>
      <c r="Q11" s="1">
        <f>('Data &amp; PV'!$J$5/(1+3%)^Table1116[[#This Row],[year]])</f>
        <v>1726.2978825604025</v>
      </c>
      <c r="V11">
        <v>51</v>
      </c>
      <c r="W11">
        <v>15</v>
      </c>
      <c r="X11" s="1">
        <f>('Data &amp; PV'!$J$5/(1+3%)^Table1221[[#This Row],[year]])</f>
        <v>1489.1197179603851</v>
      </c>
    </row>
    <row r="12" spans="1:28" s="3" customFormat="1">
      <c r="A12" s="106">
        <v>47</v>
      </c>
      <c r="B12">
        <v>11</v>
      </c>
      <c r="C12" s="1">
        <f>('Data &amp; PV'!$G$5/(1+3%)^B12)</f>
        <v>581.33276393450478</v>
      </c>
      <c r="I12">
        <v>52</v>
      </c>
      <c r="J12">
        <v>16</v>
      </c>
      <c r="K12" s="1">
        <f>('Data &amp; PV'!$G$5/(1+3%)^J12)</f>
        <v>501.46274882022948</v>
      </c>
      <c r="O12" s="106">
        <v>47</v>
      </c>
      <c r="P12">
        <v>11</v>
      </c>
      <c r="Q12" s="1">
        <f>('Data &amp; PV'!$J$5/(1+3%)^Table1116[[#This Row],[year]])</f>
        <v>1676.0173617091286</v>
      </c>
      <c r="V12">
        <v>52</v>
      </c>
      <c r="W12">
        <v>16</v>
      </c>
      <c r="X12" s="1">
        <f>('Data &amp; PV'!$J$5/(1+3%)^Table1221[[#This Row],[year]])</f>
        <v>1445.7472989906653</v>
      </c>
    </row>
    <row r="13" spans="1:28">
      <c r="A13" s="106">
        <v>48</v>
      </c>
      <c r="B13">
        <v>12</v>
      </c>
      <c r="C13" s="1">
        <f>('Data &amp; PV'!$G$5/(1+3%)^B13)</f>
        <v>564.4007416839853</v>
      </c>
      <c r="I13">
        <v>53</v>
      </c>
      <c r="J13">
        <v>17</v>
      </c>
      <c r="K13" s="1">
        <f>('Data &amp; PV'!$G$5/(1+3%)^J13)</f>
        <v>486.85703768954318</v>
      </c>
      <c r="O13" s="106">
        <v>48</v>
      </c>
      <c r="P13">
        <v>12</v>
      </c>
      <c r="Q13" s="1">
        <f>('Data &amp; PV'!$J$5/(1+3%)^Table1116[[#This Row],[year]])</f>
        <v>1627.2013220476979</v>
      </c>
      <c r="V13">
        <v>53</v>
      </c>
      <c r="W13">
        <v>17</v>
      </c>
      <c r="X13" s="1">
        <f>('Data &amp; PV'!$J$5/(1+3%)^Table1221[[#This Row],[year]])</f>
        <v>1403.6381543598693</v>
      </c>
    </row>
    <row r="14" spans="1:28">
      <c r="A14" s="106">
        <v>49</v>
      </c>
      <c r="B14">
        <v>13</v>
      </c>
      <c r="C14" s="1">
        <f>('Data &amp; PV'!$G$5/(1+3%)^B14)</f>
        <v>547.96188513008292</v>
      </c>
      <c r="I14">
        <v>54</v>
      </c>
      <c r="J14">
        <v>18</v>
      </c>
      <c r="K14" s="1">
        <f>('Data &amp; PV'!$G$5/(1+3%)^J14)</f>
        <v>472.67673562091568</v>
      </c>
      <c r="O14" s="106">
        <v>49</v>
      </c>
      <c r="P14">
        <v>13</v>
      </c>
      <c r="Q14" s="1">
        <f>('Data &amp; PV'!$J$5/(1+3%)^Table1116[[#This Row],[year]])</f>
        <v>1579.8071087841727</v>
      </c>
      <c r="V14">
        <v>54</v>
      </c>
      <c r="W14">
        <v>18</v>
      </c>
      <c r="X14" s="1">
        <f>('Data &amp; PV'!$J$5/(1+3%)^Table1221[[#This Row],[year]])</f>
        <v>1362.7554896697759</v>
      </c>
    </row>
    <row r="15" spans="1:28">
      <c r="A15" s="106">
        <v>50</v>
      </c>
      <c r="B15">
        <v>14</v>
      </c>
      <c r="C15" s="1">
        <f>('Data &amp; PV'!$G$5/(1+3%)^B15)</f>
        <v>532.00183022338138</v>
      </c>
      <c r="I15">
        <v>55</v>
      </c>
      <c r="J15">
        <v>19</v>
      </c>
      <c r="K15" s="1">
        <f>('Data &amp; PV'!$G$5/(1+3%)^J15)</f>
        <v>458.90945205914147</v>
      </c>
      <c r="O15" s="106">
        <v>50</v>
      </c>
      <c r="P15">
        <v>14</v>
      </c>
      <c r="Q15" s="1">
        <f>('Data &amp; PV'!$J$5/(1+3%)^Table1116[[#This Row],[year]])</f>
        <v>1533.7933094991968</v>
      </c>
      <c r="V15">
        <v>55</v>
      </c>
      <c r="W15">
        <v>19</v>
      </c>
      <c r="X15" s="1">
        <f>('Data &amp; PV'!$J$5/(1+3%)^Table1221[[#This Row],[year]])</f>
        <v>1323.0635822036661</v>
      </c>
    </row>
    <row r="16" spans="1:28">
      <c r="A16" s="106">
        <v>51</v>
      </c>
      <c r="B16">
        <v>15</v>
      </c>
      <c r="C16" s="1">
        <f>('Data &amp; PV'!$G$5/(1+3%)^B16)</f>
        <v>516.5066312848362</v>
      </c>
      <c r="I16">
        <v>56</v>
      </c>
      <c r="J16">
        <v>20</v>
      </c>
      <c r="K16" s="1">
        <f>('Data &amp; PV'!$G$5/(1+3%)^J16)</f>
        <v>445.54315733897232</v>
      </c>
      <c r="O16" s="106">
        <v>51</v>
      </c>
      <c r="P16">
        <v>15</v>
      </c>
      <c r="Q16" s="1">
        <f>('Data &amp; PV'!$J$5/(1+3%)^Table1116[[#This Row],[year]])</f>
        <v>1489.1197179603851</v>
      </c>
      <c r="V16">
        <v>56</v>
      </c>
      <c r="W16">
        <v>20</v>
      </c>
      <c r="X16" s="1">
        <f>('Data &amp; PV'!$J$5/(1+3%)^Table1221[[#This Row],[year]])</f>
        <v>1284.527749712297</v>
      </c>
    </row>
    <row r="17" spans="1:24" ht="15.75" customHeight="1">
      <c r="A17" s="106">
        <v>52</v>
      </c>
      <c r="B17">
        <v>16</v>
      </c>
      <c r="C17" s="1">
        <f>('Data &amp; PV'!$G$5/(1+3%)^B17)</f>
        <v>501.46274882022948</v>
      </c>
      <c r="D17" s="6"/>
      <c r="E17" s="6"/>
      <c r="F17" s="6"/>
      <c r="I17">
        <v>57</v>
      </c>
      <c r="J17">
        <v>21</v>
      </c>
      <c r="K17" s="1">
        <f>('Data &amp; PV'!$G$5/(1+3%)^J17)</f>
        <v>432.56617217375958</v>
      </c>
      <c r="O17" s="106">
        <v>52</v>
      </c>
      <c r="P17">
        <v>16</v>
      </c>
      <c r="Q17" s="1">
        <f>('Data &amp; PV'!$J$5/(1+3%)^Table1116[[#This Row],[year]])</f>
        <v>1445.7472989906653</v>
      </c>
      <c r="V17">
        <v>57</v>
      </c>
      <c r="W17">
        <v>21</v>
      </c>
      <c r="X17" s="1">
        <f>('Data &amp; PV'!$J$5/(1+3%)^Table1221[[#This Row],[year]])</f>
        <v>1247.1143201090265</v>
      </c>
    </row>
    <row r="18" spans="1:24">
      <c r="A18" s="106">
        <v>53</v>
      </c>
      <c r="B18">
        <v>17</v>
      </c>
      <c r="C18" s="1">
        <f>('Data &amp; PV'!$G$5/(1+3%)^B18)</f>
        <v>486.85703768954318</v>
      </c>
      <c r="I18">
        <v>58</v>
      </c>
      <c r="J18">
        <v>22</v>
      </c>
      <c r="K18" s="1">
        <f>('Data &amp; PV'!$G$5/(1+3%)^J18)</f>
        <v>419.96715745025199</v>
      </c>
      <c r="O18" s="106">
        <v>53</v>
      </c>
      <c r="P18">
        <v>17</v>
      </c>
      <c r="Q18" s="1">
        <f>('Data &amp; PV'!$J$5/(1+3%)^Table1116[[#This Row],[year]])</f>
        <v>1403.6381543598693</v>
      </c>
      <c r="V18">
        <v>58</v>
      </c>
      <c r="W18">
        <v>22</v>
      </c>
      <c r="X18" s="1">
        <f>('Data &amp; PV'!$J$5/(1+3%)^Table1221[[#This Row],[year]])</f>
        <v>1210.7906020475984</v>
      </c>
    </row>
    <row r="19" spans="1:24">
      <c r="A19" s="106">
        <v>54</v>
      </c>
      <c r="B19">
        <v>18</v>
      </c>
      <c r="C19" s="1">
        <f>('Data &amp; PV'!$G$5/(1+3%)^B19)</f>
        <v>472.67673562091568</v>
      </c>
      <c r="I19">
        <v>59</v>
      </c>
      <c r="J19">
        <v>23</v>
      </c>
      <c r="K19" s="1">
        <f>('Data &amp; PV'!$G$5/(1+3%)^J19)</f>
        <v>407.73510432063296</v>
      </c>
      <c r="O19" s="106">
        <v>54</v>
      </c>
      <c r="P19">
        <v>18</v>
      </c>
      <c r="Q19" s="1">
        <f>('Data &amp; PV'!$J$5/(1+3%)^Table1116[[#This Row],[year]])</f>
        <v>1362.7554896697759</v>
      </c>
      <c r="V19">
        <v>59</v>
      </c>
      <c r="W19">
        <v>23</v>
      </c>
      <c r="X19" s="1">
        <f>('Data &amp; PV'!$J$5/(1+3%)^Table1221[[#This Row],[year]])</f>
        <v>1175.5248563568916</v>
      </c>
    </row>
    <row r="20" spans="1:24">
      <c r="A20" s="106">
        <v>55</v>
      </c>
      <c r="B20">
        <v>19</v>
      </c>
      <c r="C20" s="1">
        <f>('Data &amp; PV'!$G$5/(1+3%)^B20)</f>
        <v>458.90945205914147</v>
      </c>
      <c r="I20">
        <v>60</v>
      </c>
      <c r="J20">
        <v>24</v>
      </c>
      <c r="K20" s="1">
        <f>('Data &amp; PV'!$G$5/(1+3%)^J20)</f>
        <v>395.85932458313886</v>
      </c>
      <c r="O20" s="106">
        <v>55</v>
      </c>
      <c r="P20">
        <v>19</v>
      </c>
      <c r="Q20" s="1">
        <f>('Data &amp; PV'!$J$5/(1+3%)^Table1116[[#This Row],[year]])</f>
        <v>1323.0635822036661</v>
      </c>
      <c r="V20">
        <v>60</v>
      </c>
      <c r="W20">
        <v>24</v>
      </c>
      <c r="X20" s="1">
        <f>('Data &amp; PV'!$J$5/(1+3%)^Table1221[[#This Row],[year]])</f>
        <v>1141.2862683076619</v>
      </c>
    </row>
    <row r="21" spans="1:24">
      <c r="A21" s="106">
        <v>56</v>
      </c>
      <c r="B21">
        <v>20</v>
      </c>
      <c r="C21" s="1">
        <f>('Data &amp; PV'!$G$5/(1+3%)^B21)</f>
        <v>445.54315733897232</v>
      </c>
      <c r="I21">
        <v>61</v>
      </c>
      <c r="J21">
        <v>25</v>
      </c>
      <c r="K21" s="1">
        <f>('Data &amp; PV'!$G$5/(1+3%)^J21)</f>
        <v>384.32944134285327</v>
      </c>
      <c r="O21" s="106">
        <v>56</v>
      </c>
      <c r="P21">
        <v>20</v>
      </c>
      <c r="Q21" s="1">
        <f>('Data &amp; PV'!$J$5/(1+3%)^Table1116[[#This Row],[year]])</f>
        <v>1284.527749712297</v>
      </c>
      <c r="V21">
        <v>61</v>
      </c>
      <c r="W21">
        <v>25</v>
      </c>
      <c r="X21" s="1">
        <f>('Data &amp; PV'!$J$5/(1+3%)^Table1221[[#This Row],[year]])</f>
        <v>1108.0449206870503</v>
      </c>
    </row>
    <row r="22" spans="1:24">
      <c r="A22" s="106">
        <v>57</v>
      </c>
      <c r="B22">
        <v>21</v>
      </c>
      <c r="C22" s="1">
        <f>('Data &amp; PV'!$G$5/(1+3%)^B22)</f>
        <v>432.56617217375958</v>
      </c>
      <c r="I22">
        <v>62</v>
      </c>
      <c r="J22">
        <v>26</v>
      </c>
      <c r="K22" s="1">
        <f>('Data &amp; PV'!$G$5/(1+3%)^J22)</f>
        <v>373.13537994451769</v>
      </c>
      <c r="O22" s="106">
        <v>57</v>
      </c>
      <c r="P22">
        <v>21</v>
      </c>
      <c r="Q22" s="1">
        <f>('Data &amp; PV'!$J$5/(1+3%)^Table1116[[#This Row],[year]])</f>
        <v>1247.1143201090265</v>
      </c>
      <c r="V22">
        <v>62</v>
      </c>
      <c r="W22">
        <v>26</v>
      </c>
      <c r="X22" s="1">
        <f>('Data &amp; PV'!$J$5/(1+3%)^Table1221[[#This Row],[year]])</f>
        <v>1075.7717676573304</v>
      </c>
    </row>
    <row r="23" spans="1:24">
      <c r="A23" s="106">
        <v>58</v>
      </c>
      <c r="B23">
        <v>22</v>
      </c>
      <c r="C23" s="1">
        <f>('Data &amp; PV'!$G$5/(1+3%)^B23)</f>
        <v>419.96715745025199</v>
      </c>
      <c r="I23">
        <v>63</v>
      </c>
      <c r="J23">
        <v>27</v>
      </c>
      <c r="K23" s="1">
        <f>('Data &amp; PV'!$G$5/(1+3%)^J23)</f>
        <v>362.26735916943466</v>
      </c>
      <c r="O23" s="106">
        <v>58</v>
      </c>
      <c r="P23">
        <v>22</v>
      </c>
      <c r="Q23" s="1">
        <f>('Data &amp; PV'!$J$5/(1+3%)^Table1116[[#This Row],[year]])</f>
        <v>1210.7906020475984</v>
      </c>
      <c r="V23">
        <v>63</v>
      </c>
      <c r="W23">
        <v>27</v>
      </c>
      <c r="X23" s="1">
        <f>('Data &amp; PV'!$J$5/(1+3%)^Table1221[[#This Row],[year]])</f>
        <v>1044.438609376049</v>
      </c>
    </row>
    <row r="24" spans="1:24">
      <c r="A24" s="106">
        <v>59</v>
      </c>
      <c r="B24">
        <v>23</v>
      </c>
      <c r="C24" s="1">
        <f>('Data &amp; PV'!$G$5/(1+3%)^B24)</f>
        <v>407.73510432063296</v>
      </c>
      <c r="I24">
        <v>64</v>
      </c>
      <c r="J24">
        <v>28</v>
      </c>
      <c r="K24" s="1">
        <f>('Data &amp; PV'!$G$5/(1+3%)^J24)</f>
        <v>351.71588268877156</v>
      </c>
      <c r="O24" s="106">
        <v>59</v>
      </c>
      <c r="P24">
        <v>23</v>
      </c>
      <c r="Q24" s="1">
        <f>('Data &amp; PV'!$J$5/(1+3%)^Table1116[[#This Row],[year]])</f>
        <v>1175.5248563568916</v>
      </c>
      <c r="V24">
        <v>64</v>
      </c>
      <c r="W24">
        <v>28</v>
      </c>
      <c r="X24" s="1">
        <f>('Data &amp; PV'!$J$5/(1+3%)^Table1221[[#This Row],[year]])</f>
        <v>1014.0180673553874</v>
      </c>
    </row>
    <row r="25" spans="1:24">
      <c r="A25" s="106">
        <v>60</v>
      </c>
      <c r="B25">
        <v>24</v>
      </c>
      <c r="C25" s="1">
        <f>('Data &amp; PV'!$G$5/(1+3%)^B25)</f>
        <v>395.85932458313886</v>
      </c>
      <c r="I25">
        <v>65</v>
      </c>
      <c r="J25">
        <v>29</v>
      </c>
      <c r="K25" s="1">
        <f>('Data &amp; PV'!$G$5/(1+3%)^J25)</f>
        <v>341.47173076579764</v>
      </c>
      <c r="O25" s="106">
        <v>60</v>
      </c>
      <c r="P25">
        <v>24</v>
      </c>
      <c r="Q25" s="1">
        <f>('Data &amp; PV'!$J$5/(1+3%)^Table1116[[#This Row],[year]])</f>
        <v>1141.2862683076619</v>
      </c>
      <c r="V25">
        <v>65</v>
      </c>
      <c r="W25">
        <v>29</v>
      </c>
      <c r="X25" s="1">
        <f>('Data &amp; PV'!$J$5/(1+3%)^Table1221[[#This Row],[year]])</f>
        <v>984.48356053921111</v>
      </c>
    </row>
    <row r="26" spans="1:24">
      <c r="A26" s="106">
        <v>61</v>
      </c>
      <c r="B26">
        <v>25</v>
      </c>
      <c r="C26" s="1">
        <f>('Data &amp; PV'!$G$5/(1+3%)^B26)</f>
        <v>384.32944134285327</v>
      </c>
      <c r="I26">
        <v>66</v>
      </c>
      <c r="J26">
        <v>30</v>
      </c>
      <c r="K26" s="1">
        <f>('Data &amp; PV'!$G$5/(1+3%)^J26)</f>
        <v>331.52595219980356</v>
      </c>
      <c r="O26" s="106">
        <v>61</v>
      </c>
      <c r="P26">
        <v>25</v>
      </c>
      <c r="Q26" s="1">
        <f>('Data &amp; PV'!$J$5/(1+3%)^Table1116[[#This Row],[year]])</f>
        <v>1108.0449206870503</v>
      </c>
      <c r="V26">
        <v>66</v>
      </c>
      <c r="W26">
        <v>30</v>
      </c>
      <c r="X26" s="1">
        <f>('Data &amp; PV'!$J$5/(1+3%)^Table1221[[#This Row],[year]])</f>
        <v>955.80928207690397</v>
      </c>
    </row>
    <row r="27" spans="1:24" s="3" customFormat="1">
      <c r="A27" s="177" t="s">
        <v>99</v>
      </c>
      <c r="B27" s="177"/>
      <c r="C27" s="4">
        <f>SUM(C6:C26)</f>
        <v>10327.076016023113</v>
      </c>
      <c r="I27" s="177" t="s">
        <v>99</v>
      </c>
      <c r="J27" s="177"/>
      <c r="K27" s="4">
        <f>SUM(K6:K26)</f>
        <v>8908.2264884245542</v>
      </c>
      <c r="O27" s="177" t="s">
        <v>99</v>
      </c>
      <c r="P27" s="177"/>
      <c r="Q27" s="4">
        <f>SUM(Q6:Q26)</f>
        <v>29773.581969473697</v>
      </c>
      <c r="V27" s="177" t="s">
        <v>99</v>
      </c>
      <c r="W27" s="177"/>
      <c r="X27" s="4">
        <f>SUM(X6:X26)</f>
        <v>25682.95334944997</v>
      </c>
    </row>
    <row r="28" spans="1:24" ht="15.75" thickBot="1"/>
    <row r="29" spans="1:24" ht="15.75" thickBot="1">
      <c r="D29" s="312" t="s">
        <v>89</v>
      </c>
      <c r="E29" s="313"/>
      <c r="F29" s="313"/>
      <c r="G29" s="53">
        <f>C27-K27</f>
        <v>1418.8495275985588</v>
      </c>
      <c r="P29" s="312" t="s">
        <v>129</v>
      </c>
      <c r="Q29" s="313"/>
      <c r="R29" s="313"/>
      <c r="S29" s="77">
        <f>Q27-X27</f>
        <v>4090.6286200237264</v>
      </c>
    </row>
  </sheetData>
  <mergeCells count="11">
    <mergeCell ref="O1:Y2"/>
    <mergeCell ref="O3:Y3"/>
    <mergeCell ref="O4:Q4"/>
    <mergeCell ref="W4:Y4"/>
    <mergeCell ref="D29:F29"/>
    <mergeCell ref="A1:K2"/>
    <mergeCell ref="L1:L2"/>
    <mergeCell ref="A3:K3"/>
    <mergeCell ref="A4:C4"/>
    <mergeCell ref="I4:K4"/>
    <mergeCell ref="P29:R29"/>
  </mergeCells>
  <phoneticPr fontId="7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5"/>
  <sheetViews>
    <sheetView topLeftCell="A4" workbookViewId="0">
      <selection activeCell="M6" sqref="M6:M21"/>
    </sheetView>
  </sheetViews>
  <sheetFormatPr defaultColWidth="8.85546875" defaultRowHeight="15"/>
  <cols>
    <col min="1" max="2" width="11" customWidth="1"/>
    <col min="3" max="3" width="14.85546875" style="1" bestFit="1" customWidth="1"/>
    <col min="13" max="13" width="9.140625" bestFit="1" customWidth="1"/>
  </cols>
  <sheetData>
    <row r="1" spans="1:22" ht="47.25" customHeight="1">
      <c r="A1" s="326" t="s">
        <v>130</v>
      </c>
      <c r="B1" s="327"/>
      <c r="C1" s="327"/>
      <c r="D1" s="8"/>
      <c r="E1" s="8"/>
      <c r="F1" s="8"/>
      <c r="G1" s="8"/>
      <c r="K1" s="326" t="s">
        <v>131</v>
      </c>
      <c r="L1" s="327"/>
      <c r="M1" s="327"/>
      <c r="N1" s="78"/>
      <c r="O1" s="78"/>
      <c r="P1" s="78"/>
      <c r="Q1" s="78"/>
      <c r="R1" s="78"/>
      <c r="S1" s="78"/>
      <c r="T1" s="78"/>
      <c r="U1" s="78"/>
      <c r="V1" s="79"/>
    </row>
    <row r="2" spans="1:22" s="3" customFormat="1" ht="19.5" customHeight="1">
      <c r="A2" s="326" t="s">
        <v>89</v>
      </c>
      <c r="B2" s="327"/>
      <c r="C2" s="327"/>
      <c r="D2" s="7"/>
      <c r="E2" s="7"/>
      <c r="F2" s="7"/>
      <c r="K2" s="326" t="s">
        <v>132</v>
      </c>
      <c r="L2" s="327"/>
      <c r="M2" s="327"/>
      <c r="N2" s="80"/>
      <c r="O2" s="80"/>
      <c r="P2" s="80"/>
      <c r="Q2" s="80"/>
      <c r="R2" s="80"/>
      <c r="S2" s="80"/>
      <c r="T2" s="80"/>
      <c r="U2" s="80"/>
      <c r="V2" s="81"/>
    </row>
    <row r="3" spans="1:22" s="3" customFormat="1" ht="51" customHeight="1">
      <c r="A3" s="326" t="s">
        <v>133</v>
      </c>
      <c r="B3" s="327"/>
      <c r="C3" s="327"/>
      <c r="D3" s="6"/>
      <c r="E3" s="6"/>
      <c r="F3" s="6"/>
      <c r="K3" s="326" t="s">
        <v>134</v>
      </c>
      <c r="L3" s="327"/>
      <c r="M3" s="327"/>
    </row>
    <row r="4" spans="1:22">
      <c r="A4" s="37" t="s">
        <v>94</v>
      </c>
      <c r="B4" s="37" t="s">
        <v>95</v>
      </c>
      <c r="C4" s="38" t="s">
        <v>96</v>
      </c>
      <c r="K4" s="93" t="s">
        <v>94</v>
      </c>
      <c r="L4" s="94" t="s">
        <v>95</v>
      </c>
      <c r="M4" s="95" t="s">
        <v>96</v>
      </c>
      <c r="N4" s="82"/>
      <c r="O4" s="82"/>
    </row>
    <row r="5" spans="1:22">
      <c r="A5" s="108" t="s">
        <v>97</v>
      </c>
      <c r="B5" s="8">
        <v>13</v>
      </c>
      <c r="C5" s="1">
        <f>(0/(1+5%)^B5)</f>
        <v>0</v>
      </c>
      <c r="D5" s="79"/>
      <c r="E5" s="79"/>
      <c r="F5" s="79"/>
      <c r="G5" s="79"/>
      <c r="H5" s="79"/>
      <c r="I5" s="79"/>
      <c r="K5" s="63" t="s">
        <v>97</v>
      </c>
      <c r="L5" s="70">
        <v>13</v>
      </c>
      <c r="M5" s="66">
        <f>(0/(1+5%)^L5)</f>
        <v>0</v>
      </c>
      <c r="N5" s="82"/>
      <c r="O5" s="82"/>
    </row>
    <row r="6" spans="1:22">
      <c r="A6" s="106">
        <v>50</v>
      </c>
      <c r="B6" s="8">
        <v>14</v>
      </c>
      <c r="C6" s="1">
        <f>('Data &amp; PV'!$G$7/(1+3%)^B6)</f>
        <v>7053.6596551467364</v>
      </c>
      <c r="D6" s="79"/>
      <c r="E6" s="79"/>
      <c r="F6" s="79"/>
      <c r="G6" s="79"/>
      <c r="H6" s="79"/>
      <c r="I6" s="79"/>
      <c r="K6" s="65">
        <v>50</v>
      </c>
      <c r="L6" s="71">
        <v>14</v>
      </c>
      <c r="M6" s="66">
        <f>('Data &amp; PV'!$J$7/(1+3%)^L6)</f>
        <v>268.41382916235943</v>
      </c>
    </row>
    <row r="7" spans="1:22">
      <c r="A7" s="106">
        <v>51</v>
      </c>
      <c r="B7" s="8">
        <v>15</v>
      </c>
      <c r="C7" s="1">
        <f>('Data &amp; PV'!$G$7/(1+3%)^B7)</f>
        <v>6848.2132574240159</v>
      </c>
      <c r="K7" s="63">
        <v>51</v>
      </c>
      <c r="L7" s="70">
        <v>15</v>
      </c>
      <c r="M7" s="66">
        <f>('Data &amp; PV'!$J$7/(1+3%)^L7)</f>
        <v>260.5959506430674</v>
      </c>
    </row>
    <row r="8" spans="1:22">
      <c r="A8" s="106">
        <v>52</v>
      </c>
      <c r="B8" s="8">
        <v>16</v>
      </c>
      <c r="C8" s="1">
        <f>('Data &amp; PV'!$G$7/(1+3%)^B8)</f>
        <v>6648.7507353631227</v>
      </c>
      <c r="K8" s="65">
        <v>52</v>
      </c>
      <c r="L8" s="71">
        <v>16</v>
      </c>
      <c r="M8" s="66">
        <f>('Data &amp; PV'!$J$7/(1+3%)^L8)</f>
        <v>253.00577732336643</v>
      </c>
    </row>
    <row r="9" spans="1:22">
      <c r="A9" s="106">
        <v>53</v>
      </c>
      <c r="B9" s="8">
        <v>17</v>
      </c>
      <c r="C9" s="1">
        <f>('Data &amp; PV'!$G$7/(1+3%)^B9)</f>
        <v>6455.0978013234208</v>
      </c>
      <c r="K9" s="63">
        <v>53</v>
      </c>
      <c r="L9" s="70">
        <v>17</v>
      </c>
      <c r="M9" s="66">
        <f>('Data &amp; PV'!$J$7/(1+3%)^L9)</f>
        <v>245.63667701297712</v>
      </c>
    </row>
    <row r="10" spans="1:22" s="3" customFormat="1">
      <c r="A10" s="106">
        <v>54</v>
      </c>
      <c r="B10" s="8">
        <v>18</v>
      </c>
      <c r="C10" s="1">
        <f>('Data &amp; PV'!$G$7/(1+3%)^B10)</f>
        <v>6267.0852440033204</v>
      </c>
      <c r="K10" s="65">
        <v>54</v>
      </c>
      <c r="L10" s="71">
        <v>18</v>
      </c>
      <c r="M10" s="66">
        <f>('Data &amp; PV'!$J$7/(1+3%)^L10)</f>
        <v>238.4822106922108</v>
      </c>
    </row>
    <row r="11" spans="1:22">
      <c r="A11" s="106">
        <v>55</v>
      </c>
      <c r="B11" s="8">
        <v>19</v>
      </c>
      <c r="C11" s="1">
        <f>('Data &amp; PV'!$G$7/(1+3%)^B11)</f>
        <v>6084.5487805857483</v>
      </c>
      <c r="K11" s="63">
        <v>55</v>
      </c>
      <c r="L11" s="70">
        <v>19</v>
      </c>
      <c r="M11" s="66">
        <f>('Data &amp; PV'!$J$7/(1+3%)^L11)</f>
        <v>231.53612688564155</v>
      </c>
    </row>
    <row r="12" spans="1:22">
      <c r="A12" s="106">
        <v>56</v>
      </c>
      <c r="B12" s="8">
        <v>20</v>
      </c>
      <c r="C12" s="1">
        <f>('Data &amp; PV'!$G$7/(1+3%)^B12)</f>
        <v>5907.3289131900474</v>
      </c>
      <c r="K12" s="65">
        <v>56</v>
      </c>
      <c r="L12" s="71">
        <v>20</v>
      </c>
      <c r="M12" s="66">
        <f>('Data &amp; PV'!$J$7/(1+3%)^L12)</f>
        <v>224.792356199652</v>
      </c>
    </row>
    <row r="13" spans="1:22">
      <c r="A13" s="106">
        <v>57</v>
      </c>
      <c r="B13" s="8">
        <v>21</v>
      </c>
      <c r="C13" s="1">
        <f>('Data &amp; PV'!$G$7/(1+3%)^B13)</f>
        <v>5735.2707895049007</v>
      </c>
      <c r="K13" s="63">
        <v>57</v>
      </c>
      <c r="L13" s="70">
        <v>21</v>
      </c>
      <c r="M13" s="66">
        <f>('Data &amp; PV'!$J$7/(1+3%)^L13)</f>
        <v>218.24500601907963</v>
      </c>
    </row>
    <row r="14" spans="1:22">
      <c r="A14" s="106">
        <v>58</v>
      </c>
      <c r="B14" s="8">
        <v>22</v>
      </c>
      <c r="C14" s="1">
        <f>('Data &amp; PV'!$G$7/(1+3%)^B14)</f>
        <v>5568.2240674804862</v>
      </c>
      <c r="K14" s="65">
        <v>58</v>
      </c>
      <c r="L14" s="71">
        <v>22</v>
      </c>
      <c r="M14" s="66">
        <f>('Data &amp; PV'!$J$7/(1+3%)^L14)</f>
        <v>211.88835535832973</v>
      </c>
    </row>
    <row r="15" spans="1:22" ht="18" customHeight="1">
      <c r="A15" s="106">
        <v>59</v>
      </c>
      <c r="B15" s="8">
        <v>23</v>
      </c>
      <c r="C15" s="1">
        <f>('Data &amp; PV'!$G$7/(1+3%)^B15)</f>
        <v>5406.0427839616359</v>
      </c>
      <c r="D15" s="5"/>
      <c r="E15" s="5"/>
      <c r="F15" s="5"/>
      <c r="K15" s="63">
        <v>59</v>
      </c>
      <c r="L15" s="70">
        <v>23</v>
      </c>
      <c r="M15" s="66">
        <f>('Data &amp; PV'!$J$7/(1+3%)^L15)</f>
        <v>205.71684986245603</v>
      </c>
    </row>
    <row r="16" spans="1:22">
      <c r="A16" s="106">
        <v>60</v>
      </c>
      <c r="B16" s="8">
        <v>24</v>
      </c>
      <c r="C16" s="1">
        <f>('Data &amp; PV'!$G$7/(1+3%)^B16)</f>
        <v>5248.5852271472204</v>
      </c>
      <c r="K16" s="65">
        <v>60</v>
      </c>
      <c r="L16" s="71">
        <v>24</v>
      </c>
      <c r="M16" s="66">
        <f>('Data &amp; PV'!$J$7/(1+3%)^L16)</f>
        <v>199.72509695384085</v>
      </c>
    </row>
    <row r="17" spans="1:13">
      <c r="A17" s="106">
        <v>61</v>
      </c>
      <c r="B17" s="8">
        <v>25</v>
      </c>
      <c r="C17" s="1">
        <f>('Data &amp; PV'!$G$7/(1+3%)^B17)</f>
        <v>5095.713812764292</v>
      </c>
      <c r="K17" s="63">
        <v>61</v>
      </c>
      <c r="L17" s="70">
        <v>25</v>
      </c>
      <c r="M17" s="66">
        <f>('Data &amp; PV'!$J$7/(1+3%)^L17)</f>
        <v>193.90786112023383</v>
      </c>
    </row>
    <row r="18" spans="1:13">
      <c r="A18" s="106">
        <v>62</v>
      </c>
      <c r="B18" s="8">
        <v>26</v>
      </c>
      <c r="C18" s="1">
        <f>('Data &amp; PV'!$G$7/(1+3%)^B18)</f>
        <v>4947.2949638488262</v>
      </c>
      <c r="K18" s="65">
        <v>62</v>
      </c>
      <c r="L18" s="71">
        <v>26</v>
      </c>
      <c r="M18" s="66">
        <f>('Data &amp; PV'!$J$7/(1+3%)^L18)</f>
        <v>188.26005934003283</v>
      </c>
    </row>
    <row r="19" spans="1:13">
      <c r="A19" s="106">
        <v>63</v>
      </c>
      <c r="B19" s="8">
        <v>27</v>
      </c>
      <c r="C19" s="1">
        <f>('Data &amp; PV'!$G$7/(1+3%)^B19)</f>
        <v>4803.1989940279873</v>
      </c>
      <c r="K19" s="63">
        <v>63</v>
      </c>
      <c r="L19" s="70">
        <v>27</v>
      </c>
      <c r="M19" s="66">
        <f>('Data &amp; PV'!$J$7/(1+3%)^L19)</f>
        <v>182.77675664080857</v>
      </c>
    </row>
    <row r="20" spans="1:13">
      <c r="A20" s="106">
        <v>64</v>
      </c>
      <c r="B20" s="8">
        <v>28</v>
      </c>
      <c r="C20" s="1">
        <f>('Data &amp; PV'!$G$7/(1+3%)^B20)</f>
        <v>4663.2999942019296</v>
      </c>
      <c r="K20" s="65">
        <v>64</v>
      </c>
      <c r="L20" s="71">
        <v>28</v>
      </c>
      <c r="M20" s="66">
        <f>('Data &amp; PV'!$J$7/(1+3%)^L20)</f>
        <v>177.45316178719278</v>
      </c>
    </row>
    <row r="21" spans="1:13">
      <c r="A21" s="106">
        <v>65</v>
      </c>
      <c r="B21" s="8">
        <v>29</v>
      </c>
      <c r="C21" s="1">
        <f>('Data &amp; PV'!$G$7/(1+3%)^B21)</f>
        <v>4527.4757225261455</v>
      </c>
      <c r="J21" s="92"/>
      <c r="K21" s="96">
        <v>65</v>
      </c>
      <c r="L21" s="91">
        <v>29</v>
      </c>
      <c r="M21" s="66">
        <f>('Data &amp; PV'!$J$7/(1+3%)^L21)</f>
        <v>172.28462309436196</v>
      </c>
    </row>
    <row r="22" spans="1:13">
      <c r="A22" s="106">
        <v>66</v>
      </c>
      <c r="B22" s="8">
        <v>30</v>
      </c>
      <c r="C22" s="1">
        <f>('Data &amp; PV'!$G$7/(1+3%)^B22)</f>
        <v>4395.6074975981992</v>
      </c>
      <c r="K22" s="92" t="s">
        <v>135</v>
      </c>
      <c r="L22" s="92"/>
      <c r="M22" s="4">
        <f>SUM(M5:M21)</f>
        <v>3472.7206980956112</v>
      </c>
    </row>
    <row r="23" spans="1:13">
      <c r="A23" s="106">
        <v>67</v>
      </c>
      <c r="B23" s="8">
        <v>31</v>
      </c>
      <c r="C23" s="1">
        <f>('Data &amp; PV'!$G$7/(1+3%)^B23)</f>
        <v>4267.5800947555326</v>
      </c>
    </row>
    <row r="24" spans="1:13">
      <c r="A24" s="106">
        <v>68</v>
      </c>
      <c r="B24" s="8">
        <v>32</v>
      </c>
      <c r="C24" s="1">
        <f>('Data &amp; PV'!$G$7/(1+3%)^B24)</f>
        <v>4143.2816453937221</v>
      </c>
    </row>
    <row r="25" spans="1:13">
      <c r="A25" s="106">
        <v>69</v>
      </c>
      <c r="B25" s="8">
        <v>33</v>
      </c>
      <c r="C25" s="1">
        <f>('Data &amp; PV'!$G$7/(1+3%)^B25)</f>
        <v>4022.6035392172057</v>
      </c>
    </row>
    <row r="26" spans="1:13">
      <c r="A26" s="106">
        <v>70</v>
      </c>
      <c r="B26" s="62">
        <v>34</v>
      </c>
      <c r="C26" s="1">
        <f>('Data &amp; PV'!$G$7/(1+3%)^B26)</f>
        <v>3905.4403293370933</v>
      </c>
    </row>
    <row r="27" spans="1:13">
      <c r="A27" s="106">
        <v>71</v>
      </c>
      <c r="B27" s="61">
        <v>35</v>
      </c>
      <c r="C27" s="1">
        <f>('Data &amp; PV'!$G$7/(1+3%)^B27)</f>
        <v>3791.6896401331001</v>
      </c>
    </row>
    <row r="28" spans="1:13">
      <c r="A28" s="106">
        <v>72</v>
      </c>
      <c r="B28" s="62">
        <v>36</v>
      </c>
      <c r="C28" s="1">
        <f>('Data &amp; PV'!$G$7/(1+3%)^B28)</f>
        <v>3681.2520777991263</v>
      </c>
    </row>
    <row r="29" spans="1:13">
      <c r="A29" s="106">
        <v>73</v>
      </c>
      <c r="B29" s="61">
        <v>37</v>
      </c>
      <c r="C29" s="1">
        <f>('Data &amp; PV'!$G$7/(1+3%)^B29)</f>
        <v>3574.0311434942978</v>
      </c>
    </row>
    <row r="30" spans="1:13">
      <c r="A30" s="106">
        <v>74</v>
      </c>
      <c r="B30" s="62">
        <v>38</v>
      </c>
      <c r="C30" s="1">
        <f>('Data &amp; PV'!$G$7/(1+3%)^B30)</f>
        <v>3469.93314902359</v>
      </c>
    </row>
    <row r="31" spans="1:13">
      <c r="A31" s="106">
        <v>75</v>
      </c>
      <c r="B31" s="61">
        <v>39</v>
      </c>
      <c r="C31" s="1">
        <f>('Data &amp; PV'!$G$7/(1+3%)^B31)</f>
        <v>3368.867134974359</v>
      </c>
    </row>
    <row r="32" spans="1:13">
      <c r="A32" s="106">
        <v>76</v>
      </c>
      <c r="B32" s="62">
        <v>40</v>
      </c>
      <c r="C32" s="1">
        <f>('Data &amp; PV'!$G$7/(1+3%)^B32)</f>
        <v>3270.7447912372422</v>
      </c>
    </row>
    <row r="33" spans="1:13" s="3" customFormat="1">
      <c r="A33" s="106">
        <v>77</v>
      </c>
      <c r="B33" s="61">
        <v>41</v>
      </c>
      <c r="C33" s="1">
        <f>('Data &amp; PV'!$G$7/(1+3%)^B33)</f>
        <v>3175.4803798419825</v>
      </c>
      <c r="K33"/>
      <c r="L33"/>
      <c r="M33"/>
    </row>
    <row r="34" spans="1:13">
      <c r="A34" s="106">
        <v>78</v>
      </c>
      <c r="B34" s="91">
        <v>42</v>
      </c>
      <c r="C34" s="1">
        <f>('Data &amp; PV'!$G$7/(1+3%)^B34)</f>
        <v>3082.9906600407594</v>
      </c>
      <c r="K34" s="3"/>
      <c r="L34" s="3"/>
      <c r="M34" s="3"/>
    </row>
    <row r="35" spans="1:13">
      <c r="A35" s="177" t="s">
        <v>136</v>
      </c>
      <c r="B35" s="7"/>
      <c r="C35" s="4">
        <f>SUM(C5:C34)</f>
        <v>139409.29282534606</v>
      </c>
    </row>
  </sheetData>
  <mergeCells count="6">
    <mergeCell ref="K1:M1"/>
    <mergeCell ref="K2:M2"/>
    <mergeCell ref="K3:M3"/>
    <mergeCell ref="A3:C3"/>
    <mergeCell ref="A2:C2"/>
    <mergeCell ref="A1:C1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1"/>
  <sheetViews>
    <sheetView workbookViewId="0">
      <selection activeCell="Q6" sqref="Q6:Q17"/>
    </sheetView>
  </sheetViews>
  <sheetFormatPr defaultColWidth="8.85546875" defaultRowHeight="15"/>
  <cols>
    <col min="1" max="2" width="11" customWidth="1"/>
    <col min="3" max="3" width="14.85546875" style="1" bestFit="1" customWidth="1"/>
    <col min="15" max="15" width="12.7109375" bestFit="1" customWidth="1"/>
  </cols>
  <sheetData>
    <row r="1" spans="1:17" ht="30" customHeight="1">
      <c r="A1" s="326" t="s">
        <v>137</v>
      </c>
      <c r="B1" s="327"/>
      <c r="C1" s="327"/>
      <c r="D1" s="8"/>
      <c r="E1" s="8"/>
      <c r="F1" s="8"/>
      <c r="G1" s="8"/>
      <c r="O1" s="326" t="s">
        <v>138</v>
      </c>
      <c r="P1" s="327"/>
      <c r="Q1" s="327"/>
    </row>
    <row r="2" spans="1:17" s="3" customFormat="1">
      <c r="A2" s="326" t="s">
        <v>89</v>
      </c>
      <c r="B2" s="327"/>
      <c r="C2" s="327"/>
      <c r="D2" s="7"/>
      <c r="E2" s="7"/>
      <c r="F2" s="7"/>
      <c r="O2" s="326" t="s">
        <v>132</v>
      </c>
      <c r="P2" s="327"/>
      <c r="Q2" s="327"/>
    </row>
    <row r="3" spans="1:17" s="3" customFormat="1" ht="40.5" customHeight="1">
      <c r="A3" s="326" t="s">
        <v>139</v>
      </c>
      <c r="B3" s="327"/>
      <c r="C3" s="327"/>
      <c r="D3" s="6"/>
      <c r="E3" s="6"/>
      <c r="F3" s="6"/>
      <c r="O3" s="326" t="s">
        <v>140</v>
      </c>
      <c r="P3" s="327"/>
      <c r="Q3" s="327"/>
    </row>
    <row r="4" spans="1:17">
      <c r="A4" s="35" t="s">
        <v>94</v>
      </c>
      <c r="B4" s="35" t="s">
        <v>95</v>
      </c>
      <c r="C4" s="36" t="s">
        <v>96</v>
      </c>
      <c r="O4" s="67" t="s">
        <v>94</v>
      </c>
      <c r="P4" s="68" t="s">
        <v>95</v>
      </c>
      <c r="Q4" s="69" t="s">
        <v>96</v>
      </c>
    </row>
    <row r="5" spans="1:17">
      <c r="A5" s="106" t="s">
        <v>141</v>
      </c>
      <c r="B5">
        <v>18</v>
      </c>
      <c r="C5" s="1">
        <f>(0/(1+5%)^B5)</f>
        <v>0</v>
      </c>
      <c r="O5" s="63" t="s">
        <v>141</v>
      </c>
      <c r="P5" s="59">
        <v>18</v>
      </c>
      <c r="Q5" s="64">
        <f>(0/(1+5%)^'Type 2 Diabeties'!P5)</f>
        <v>0</v>
      </c>
    </row>
    <row r="6" spans="1:17">
      <c r="A6" s="106">
        <v>54</v>
      </c>
      <c r="B6">
        <v>19</v>
      </c>
      <c r="C6" s="1">
        <f>('Data &amp; PV'!$G$8/(1+3%)^B6)</f>
        <v>4944.6570719187393</v>
      </c>
      <c r="O6" s="65">
        <v>54</v>
      </c>
      <c r="P6" s="60">
        <v>19</v>
      </c>
      <c r="Q6" s="64">
        <f>('Data &amp; PV'!$J$8/(1+3%)^'Type 2 Diabeties'!P6)</f>
        <v>363.84248510600816</v>
      </c>
    </row>
    <row r="7" spans="1:17">
      <c r="A7" s="106">
        <v>55</v>
      </c>
      <c r="B7">
        <v>20</v>
      </c>
      <c r="C7" s="1">
        <f>('Data &amp; PV'!$G$8/(1+3%)^B7)</f>
        <v>4800.6379339016885</v>
      </c>
      <c r="O7" s="63">
        <v>55</v>
      </c>
      <c r="P7" s="59">
        <v>20</v>
      </c>
      <c r="Q7" s="64">
        <f>('Data &amp; PV'!$J$8/(1+3%)^'Type 2 Diabeties'!P7)</f>
        <v>353.24513117088173</v>
      </c>
    </row>
    <row r="8" spans="1:17">
      <c r="A8" s="106">
        <v>56</v>
      </c>
      <c r="B8">
        <v>21</v>
      </c>
      <c r="C8" s="1">
        <f>('Data &amp; PV'!$G$8/(1+3%)^B8)</f>
        <v>4660.8135280598926</v>
      </c>
      <c r="O8" s="65">
        <v>56</v>
      </c>
      <c r="P8" s="60">
        <v>21</v>
      </c>
      <c r="Q8" s="64">
        <f>('Data &amp; PV'!$J$8/(1+3%)^'Type 2 Diabeties'!P8)</f>
        <v>342.95643802998228</v>
      </c>
    </row>
    <row r="9" spans="1:17">
      <c r="A9" s="106">
        <v>57</v>
      </c>
      <c r="B9">
        <v>22</v>
      </c>
      <c r="C9" s="1">
        <f>('Data &amp; PV'!$G$8/(1+3%)^B9)</f>
        <v>4525.0616777280511</v>
      </c>
      <c r="O9" s="63">
        <v>57</v>
      </c>
      <c r="P9" s="59">
        <v>22</v>
      </c>
      <c r="Q9" s="64">
        <f>('Data &amp; PV'!$J$8/(1+3%)^'Type 2 Diabeties'!P9)</f>
        <v>332.96741556308956</v>
      </c>
    </row>
    <row r="10" spans="1:17" s="3" customFormat="1">
      <c r="A10" s="106">
        <v>58</v>
      </c>
      <c r="B10">
        <v>23</v>
      </c>
      <c r="C10" s="1">
        <f>('Data &amp; PV'!$G$8/(1+3%)^B10)</f>
        <v>4393.2637647845149</v>
      </c>
      <c r="O10" s="65">
        <v>58</v>
      </c>
      <c r="P10" s="60">
        <v>23</v>
      </c>
      <c r="Q10" s="64">
        <f>('Data &amp; PV'!$J$8/(1+3%)^'Type 2 Diabeties'!P10)</f>
        <v>323.26933549814521</v>
      </c>
    </row>
    <row r="11" spans="1:17">
      <c r="A11" s="106">
        <v>59</v>
      </c>
      <c r="B11">
        <v>24</v>
      </c>
      <c r="C11" s="1">
        <f>('Data &amp; PV'!$G$8/(1+3%)^B11)</f>
        <v>4265.3046260043839</v>
      </c>
      <c r="O11" s="63">
        <v>59</v>
      </c>
      <c r="P11" s="59">
        <v>24</v>
      </c>
      <c r="Q11" s="64">
        <f>('Data &amp; PV'!$J$8/(1+3%)^'Type 2 Diabeties'!P11)</f>
        <v>313.85372378460704</v>
      </c>
    </row>
    <row r="12" spans="1:17">
      <c r="A12" s="106">
        <v>60</v>
      </c>
      <c r="B12">
        <v>25</v>
      </c>
      <c r="C12" s="1">
        <f>('Data &amp; PV'!$G$8/(1+3%)^B12)</f>
        <v>4141.072452431441</v>
      </c>
      <c r="O12" s="65">
        <v>60</v>
      </c>
      <c r="P12" s="60">
        <v>25</v>
      </c>
      <c r="Q12" s="64">
        <f>('Data &amp; PV'!$J$8/(1+3%)^'Type 2 Diabeties'!P12)</f>
        <v>304.71235318893889</v>
      </c>
    </row>
    <row r="13" spans="1:17">
      <c r="A13" s="106">
        <v>61</v>
      </c>
      <c r="B13">
        <v>26</v>
      </c>
      <c r="C13" s="1">
        <f>('Data &amp; PV'!$G$8/(1+3%)^B13)</f>
        <v>4020.4586916810099</v>
      </c>
      <c r="O13" s="63">
        <v>61</v>
      </c>
      <c r="P13" s="59">
        <v>26</v>
      </c>
      <c r="Q13" s="64">
        <f>('Data &amp; PV'!$J$8/(1+3%)^'Type 2 Diabeties'!P13)</f>
        <v>295.83723610576584</v>
      </c>
    </row>
    <row r="14" spans="1:17">
      <c r="A14" s="106">
        <v>62</v>
      </c>
      <c r="B14">
        <v>27</v>
      </c>
      <c r="C14" s="1">
        <f>('Data &amp; PV'!$G$8/(1+3%)^B14)</f>
        <v>3903.3579530883599</v>
      </c>
      <c r="O14" s="65">
        <v>62</v>
      </c>
      <c r="P14" s="60">
        <v>27</v>
      </c>
      <c r="Q14" s="64">
        <f>('Data &amp; PV'!$J$8/(1+3%)^'Type 2 Diabeties'!P14)</f>
        <v>287.22061757841345</v>
      </c>
    </row>
    <row r="15" spans="1:17" ht="18" customHeight="1">
      <c r="A15" s="106">
        <v>63</v>
      </c>
      <c r="B15">
        <v>28</v>
      </c>
      <c r="C15" s="1">
        <f>('Data &amp; PV'!$G$8/(1+3%)^B15)</f>
        <v>3789.6679156197665</v>
      </c>
      <c r="D15" s="5"/>
      <c r="E15" s="5"/>
      <c r="F15" s="5"/>
      <c r="O15" s="63">
        <v>63</v>
      </c>
      <c r="P15" s="59">
        <v>28</v>
      </c>
      <c r="Q15" s="64">
        <f>('Data &amp; PV'!$J$8/(1+3%)^'Type 2 Diabeties'!P15)</f>
        <v>278.85496852273155</v>
      </c>
    </row>
    <row r="16" spans="1:17">
      <c r="A16" s="106">
        <v>64</v>
      </c>
      <c r="B16">
        <v>29</v>
      </c>
      <c r="C16" s="1">
        <f>('Data &amp; PV'!$G$8/(1+3%)^B16)</f>
        <v>3679.2892384657935</v>
      </c>
      <c r="O16" s="65">
        <v>64</v>
      </c>
      <c r="P16" s="60">
        <v>29</v>
      </c>
      <c r="Q16" s="64">
        <f>('Data &amp; PV'!$J$8/(1+3%)^'Type 2 Diabeties'!P16)</f>
        <v>270.73297914828305</v>
      </c>
    </row>
    <row r="17" spans="1:17">
      <c r="A17" s="106">
        <v>65</v>
      </c>
      <c r="B17">
        <v>30</v>
      </c>
      <c r="C17" s="1">
        <f>('Data &amp; PV'!$G$8/(1+3%)^B17)</f>
        <v>3572.1254742386341</v>
      </c>
      <c r="O17" s="63">
        <v>65</v>
      </c>
      <c r="P17" s="59">
        <v>30</v>
      </c>
      <c r="Q17" s="64">
        <f>('Data &amp; PV'!$J$8/(1+3%)^'Type 2 Diabeties'!P17)</f>
        <v>262.84755257114858</v>
      </c>
    </row>
    <row r="18" spans="1:17">
      <c r="A18" s="106">
        <v>66</v>
      </c>
      <c r="B18">
        <v>31</v>
      </c>
      <c r="C18" s="1">
        <f>('Data &amp; PV'!$G$8/(1+3%)^B18)</f>
        <v>3468.0829846977026</v>
      </c>
      <c r="O18" s="11" t="s">
        <v>142</v>
      </c>
      <c r="Q18" s="4">
        <f>SUM(Q5:Q17)</f>
        <v>3730.3402362679958</v>
      </c>
    </row>
    <row r="19" spans="1:17">
      <c r="A19" s="106">
        <v>67</v>
      </c>
      <c r="B19">
        <v>32</v>
      </c>
      <c r="C19" s="1">
        <f>('Data &amp; PV'!$G$8/(1+3%)^B19)</f>
        <v>3367.0708589298092</v>
      </c>
    </row>
    <row r="20" spans="1:17">
      <c r="A20" s="106">
        <v>68</v>
      </c>
      <c r="B20">
        <v>33</v>
      </c>
      <c r="C20" s="1">
        <f>('Data &amp; PV'!$G$8/(1+3%)^B20)</f>
        <v>3269.0008339124356</v>
      </c>
    </row>
    <row r="21" spans="1:17">
      <c r="A21" s="106">
        <v>69</v>
      </c>
      <c r="B21">
        <v>34</v>
      </c>
      <c r="C21" s="1">
        <f>('Data &amp; PV'!$G$8/(1+3%)^B21)</f>
        <v>3173.7872173907149</v>
      </c>
    </row>
    <row r="22" spans="1:17">
      <c r="A22" s="106">
        <v>70</v>
      </c>
      <c r="B22">
        <v>35</v>
      </c>
      <c r="C22" s="1">
        <f>('Data &amp; PV'!$G$8/(1+3%)^B22)</f>
        <v>3081.3468130006936</v>
      </c>
    </row>
    <row r="23" spans="1:17">
      <c r="A23" s="106">
        <v>71</v>
      </c>
      <c r="B23">
        <v>36</v>
      </c>
      <c r="C23" s="1">
        <f>('Data &amp; PV'!$G$8/(1+3%)^B23)</f>
        <v>2991.5988475734889</v>
      </c>
    </row>
    <row r="24" spans="1:17">
      <c r="A24" s="106">
        <v>72</v>
      </c>
      <c r="B24">
        <v>37</v>
      </c>
      <c r="C24" s="1">
        <f>('Data &amp; PV'!$G$8/(1+3%)^B24)</f>
        <v>2904.4649005567858</v>
      </c>
    </row>
    <row r="25" spans="1:17">
      <c r="A25" s="106">
        <v>73</v>
      </c>
      <c r="B25">
        <v>38</v>
      </c>
      <c r="C25" s="1">
        <f>('Data &amp; PV'!$G$8/(1+3%)^B25)</f>
        <v>2819.868835492025</v>
      </c>
    </row>
    <row r="26" spans="1:17">
      <c r="A26" s="106">
        <v>74</v>
      </c>
      <c r="B26">
        <v>39</v>
      </c>
      <c r="C26" s="1">
        <f>('Data &amp; PV'!$G$8/(1+3%)^B26)</f>
        <v>2737.7367334874025</v>
      </c>
    </row>
    <row r="27" spans="1:17">
      <c r="A27" s="106">
        <v>75</v>
      </c>
      <c r="B27">
        <v>40</v>
      </c>
      <c r="C27" s="1">
        <f>('Data &amp; PV'!$G$8/(1+3%)^B27)</f>
        <v>2657.9968286285466</v>
      </c>
    </row>
    <row r="28" spans="1:17">
      <c r="A28" s="106">
        <v>76</v>
      </c>
      <c r="B28">
        <v>41</v>
      </c>
      <c r="C28" s="1">
        <f>('Data &amp; PV'!$G$8/(1+3%)^B28)</f>
        <v>2580.5794452704336</v>
      </c>
    </row>
    <row r="29" spans="1:17">
      <c r="A29" s="106">
        <v>77</v>
      </c>
      <c r="B29">
        <v>42</v>
      </c>
      <c r="C29" s="1">
        <f>('Data &amp; PV'!$G$8/(1+3%)^B29)</f>
        <v>2505.4169371557605</v>
      </c>
    </row>
    <row r="30" spans="1:17">
      <c r="A30" s="106">
        <v>78</v>
      </c>
      <c r="B30">
        <v>43</v>
      </c>
      <c r="C30" s="1">
        <f>('Data &amp; PV'!$G$8/(1+3%)^B30)</f>
        <v>2432.4436283065638</v>
      </c>
    </row>
    <row r="31" spans="1:17">
      <c r="A31" s="11" t="s">
        <v>99</v>
      </c>
      <c r="B31" s="11"/>
      <c r="C31" s="21">
        <f>SUM(C5:C30)</f>
        <v>88685.105192324641</v>
      </c>
    </row>
  </sheetData>
  <mergeCells count="6">
    <mergeCell ref="A3:C3"/>
    <mergeCell ref="A2:C2"/>
    <mergeCell ref="A1:C1"/>
    <mergeCell ref="O1:Q1"/>
    <mergeCell ref="O2:Q2"/>
    <mergeCell ref="O3:Q3"/>
  </mergeCell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5"/>
  <sheetViews>
    <sheetView topLeftCell="A13" workbookViewId="0">
      <selection activeCell="N33" sqref="N33"/>
    </sheetView>
  </sheetViews>
  <sheetFormatPr defaultColWidth="8.85546875" defaultRowHeight="15"/>
  <cols>
    <col min="3" max="3" width="13.85546875" style="1" bestFit="1" customWidth="1"/>
    <col min="12" max="12" width="10.7109375" customWidth="1"/>
    <col min="13" max="13" width="12.42578125" customWidth="1"/>
    <col min="14" max="14" width="9.140625" bestFit="1" customWidth="1"/>
  </cols>
  <sheetData>
    <row r="1" spans="1:16" ht="27.75" customHeight="1">
      <c r="A1" s="326" t="s">
        <v>143</v>
      </c>
      <c r="B1" s="327"/>
      <c r="C1" s="327"/>
      <c r="D1" s="8"/>
      <c r="E1" s="8"/>
      <c r="F1" s="8"/>
      <c r="G1" s="8"/>
      <c r="L1" s="326" t="s">
        <v>144</v>
      </c>
      <c r="M1" s="327"/>
      <c r="N1" s="327"/>
    </row>
    <row r="2" spans="1:16" s="3" customFormat="1">
      <c r="A2" s="326" t="s">
        <v>89</v>
      </c>
      <c r="B2" s="327"/>
      <c r="C2" s="327"/>
      <c r="D2" s="7"/>
      <c r="E2" s="7"/>
      <c r="F2" s="7"/>
      <c r="L2" s="326" t="s">
        <v>132</v>
      </c>
      <c r="M2" s="327"/>
      <c r="N2" s="327"/>
    </row>
    <row r="3" spans="1:16" s="3" customFormat="1" ht="38.25" customHeight="1">
      <c r="A3" s="326" t="s">
        <v>145</v>
      </c>
      <c r="B3" s="327"/>
      <c r="C3" s="327"/>
      <c r="D3" s="6"/>
      <c r="E3" s="6"/>
      <c r="F3" s="6"/>
      <c r="L3" s="326" t="s">
        <v>146</v>
      </c>
      <c r="M3" s="327"/>
      <c r="N3" s="327"/>
    </row>
    <row r="4" spans="1:16">
      <c r="A4" t="s">
        <v>94</v>
      </c>
      <c r="B4" t="s">
        <v>95</v>
      </c>
      <c r="C4" s="1" t="s">
        <v>96</v>
      </c>
      <c r="L4" t="s">
        <v>94</v>
      </c>
      <c r="M4" t="s">
        <v>95</v>
      </c>
      <c r="N4" s="1" t="s">
        <v>96</v>
      </c>
    </row>
    <row r="5" spans="1:16">
      <c r="A5" s="106" t="s">
        <v>147</v>
      </c>
      <c r="B5">
        <v>3</v>
      </c>
      <c r="C5" s="1">
        <f>(0/(1+5%)^B5)</f>
        <v>0</v>
      </c>
      <c r="D5" s="82" t="s">
        <v>148</v>
      </c>
      <c r="E5" s="82"/>
      <c r="L5" s="106" t="s">
        <v>147</v>
      </c>
      <c r="M5">
        <v>3</v>
      </c>
      <c r="N5" s="1">
        <f>(0/(1+5%)^M5)</f>
        <v>0</v>
      </c>
      <c r="O5" s="82" t="s">
        <v>149</v>
      </c>
      <c r="P5" s="82"/>
    </row>
    <row r="6" spans="1:16">
      <c r="A6" s="106">
        <v>40</v>
      </c>
      <c r="B6">
        <v>4</v>
      </c>
      <c r="C6" s="1">
        <f>('Data &amp; PV'!$G$9/(1+3%)^B6)</f>
        <v>1818.0837153997934</v>
      </c>
      <c r="L6" s="106">
        <v>40</v>
      </c>
      <c r="M6">
        <v>4</v>
      </c>
      <c r="N6" s="1">
        <f>('Data &amp; PV'!$J$9/(1+3%)^M6)</f>
        <v>191.69996545828906</v>
      </c>
    </row>
    <row r="7" spans="1:16">
      <c r="A7" s="106">
        <v>41</v>
      </c>
      <c r="B7">
        <v>5</v>
      </c>
      <c r="C7" s="1">
        <f>('Data &amp; PV'!$G$9/(1+3%)^B7)</f>
        <v>1765.1298207764985</v>
      </c>
      <c r="L7" s="106">
        <v>41</v>
      </c>
      <c r="M7">
        <v>5</v>
      </c>
      <c r="N7" s="1">
        <f>('Data &amp; PV'!$J$9/(1+3%)^M7)</f>
        <v>186.11647131872726</v>
      </c>
    </row>
    <row r="8" spans="1:16">
      <c r="A8" s="106">
        <v>42</v>
      </c>
      <c r="B8">
        <v>6</v>
      </c>
      <c r="C8" s="1">
        <f>('Data &amp; PV'!$G$9/(1+3%)^B8)</f>
        <v>1713.7182725985422</v>
      </c>
      <c r="L8" s="106">
        <v>42</v>
      </c>
      <c r="M8">
        <v>6</v>
      </c>
      <c r="N8" s="1">
        <f>('Data &amp; PV'!$J$9/(1+3%)^M8)</f>
        <v>180.6956032220653</v>
      </c>
    </row>
    <row r="9" spans="1:16">
      <c r="A9" s="106">
        <v>43</v>
      </c>
      <c r="B9">
        <v>7</v>
      </c>
      <c r="C9" s="1">
        <f>('Data &amp; PV'!$G$9/(1+3%)^B9)</f>
        <v>1663.8041481539244</v>
      </c>
      <c r="L9" s="106">
        <v>43</v>
      </c>
      <c r="M9">
        <v>7</v>
      </c>
      <c r="N9" s="1">
        <f>('Data &amp; PV'!$J$9/(1+3%)^M9)</f>
        <v>175.43262448744201</v>
      </c>
    </row>
    <row r="10" spans="1:16">
      <c r="A10" s="106">
        <v>44</v>
      </c>
      <c r="B10">
        <v>8</v>
      </c>
      <c r="C10" s="1">
        <f>('Data &amp; PV'!$G$9/(1+3%)^B10)</f>
        <v>1615.3438331591501</v>
      </c>
      <c r="L10" s="106">
        <v>44</v>
      </c>
      <c r="M10">
        <v>8</v>
      </c>
      <c r="N10" s="1">
        <f>('Data &amp; PV'!$J$9/(1+3%)^M10)</f>
        <v>170.3229363955748</v>
      </c>
    </row>
    <row r="11" spans="1:16" s="3" customFormat="1">
      <c r="A11" s="106">
        <v>45</v>
      </c>
      <c r="B11">
        <v>9</v>
      </c>
      <c r="C11" s="1">
        <f>('Data &amp; PV'!$G$9/(1+3%)^B11)</f>
        <v>1568.2949836496603</v>
      </c>
      <c r="L11" s="106">
        <v>45</v>
      </c>
      <c r="M11">
        <v>9</v>
      </c>
      <c r="N11" s="1">
        <f>('Data &amp; PV'!$J$9/(1+3%)^M11)</f>
        <v>165.36207417046097</v>
      </c>
    </row>
    <row r="12" spans="1:16">
      <c r="A12" s="106">
        <v>46</v>
      </c>
      <c r="B12">
        <v>10</v>
      </c>
      <c r="C12" s="1">
        <f>('Data &amp; PV'!$G$9/(1+3%)^B12)</f>
        <v>1522.6164889802526</v>
      </c>
      <c r="L12" s="106">
        <v>46</v>
      </c>
      <c r="M12">
        <v>10</v>
      </c>
      <c r="N12" s="1">
        <f>('Data &amp; PV'!$J$9/(1+3%)^M12)</f>
        <v>160.54570307811744</v>
      </c>
    </row>
    <row r="13" spans="1:16">
      <c r="A13" s="106">
        <v>47</v>
      </c>
      <c r="B13">
        <v>11</v>
      </c>
      <c r="C13" s="1">
        <f>('Data &amp; PV'!$G$9/(1+3%)^B13)</f>
        <v>1478.2684359031578</v>
      </c>
      <c r="L13" s="106">
        <v>47</v>
      </c>
      <c r="M13">
        <v>11</v>
      </c>
      <c r="N13" s="1">
        <f>('Data &amp; PV'!$J$9/(1+3%)^M13)</f>
        <v>155.86961463894897</v>
      </c>
    </row>
    <row r="14" spans="1:16">
      <c r="A14" s="106">
        <v>48</v>
      </c>
      <c r="B14">
        <v>12</v>
      </c>
      <c r="C14" s="1">
        <f>('Data &amp; PV'!$G$9/(1+3%)^B14)</f>
        <v>1435.2120736923864</v>
      </c>
      <c r="L14" s="106">
        <v>48</v>
      </c>
      <c r="M14">
        <v>12</v>
      </c>
      <c r="N14" s="1">
        <f>('Data &amp; PV'!$J$9/(1+3%)^M14)</f>
        <v>151.32972295043592</v>
      </c>
    </row>
    <row r="15" spans="1:16">
      <c r="A15" s="106">
        <v>49</v>
      </c>
      <c r="B15">
        <v>13</v>
      </c>
      <c r="C15" s="1">
        <f>('Data &amp; PV'!$G$9/(1+3%)^B15)</f>
        <v>1393.4097802838703</v>
      </c>
      <c r="L15" s="106">
        <v>49</v>
      </c>
      <c r="M15">
        <v>13</v>
      </c>
      <c r="N15" s="1">
        <f>('Data &amp; PV'!$J$9/(1+3%)^M15)</f>
        <v>146.92206111692809</v>
      </c>
    </row>
    <row r="16" spans="1:16" ht="18" customHeight="1">
      <c r="A16" s="106">
        <v>50</v>
      </c>
      <c r="B16">
        <v>14</v>
      </c>
      <c r="C16" s="1">
        <f>('Data &amp; PV'!$G$9/(1+3%)^B16)</f>
        <v>1352.8250294018158</v>
      </c>
      <c r="D16" s="5"/>
      <c r="E16" s="5"/>
      <c r="F16" s="5"/>
      <c r="L16" s="106">
        <v>50</v>
      </c>
      <c r="M16">
        <v>14</v>
      </c>
      <c r="N16" s="1">
        <f>('Data &amp; PV'!$J$9/(1+3%)^M16)</f>
        <v>142.64277778342532</v>
      </c>
    </row>
    <row r="17" spans="1:14">
      <c r="A17" s="106">
        <v>51</v>
      </c>
      <c r="B17">
        <v>15</v>
      </c>
      <c r="C17" s="1">
        <f>('Data &amp; PV'!$G$9/(1+3%)^B17)</f>
        <v>1313.4223586425394</v>
      </c>
      <c r="L17" s="106">
        <v>51</v>
      </c>
      <c r="M17">
        <v>15</v>
      </c>
      <c r="N17" s="1">
        <f>('Data &amp; PV'!$J$9/(1+3%)^M17)</f>
        <v>138.48813377031581</v>
      </c>
    </row>
    <row r="18" spans="1:14">
      <c r="A18" s="106">
        <v>52</v>
      </c>
      <c r="B18">
        <v>16</v>
      </c>
      <c r="C18" s="1">
        <f>('Data &amp; PV'!$G$9/(1+3%)^B18)</f>
        <v>1275.1673384879027</v>
      </c>
      <c r="L18" s="106">
        <v>52</v>
      </c>
      <c r="M18">
        <v>16</v>
      </c>
      <c r="N18" s="1">
        <f>('Data &amp; PV'!$J$9/(1+3%)^M18)</f>
        <v>134.45449880613188</v>
      </c>
    </row>
    <row r="19" spans="1:14">
      <c r="A19" s="106">
        <v>53</v>
      </c>
      <c r="B19">
        <v>17</v>
      </c>
      <c r="C19" s="1">
        <f>('Data &amp; PV'!$G$9/(1+3%)^B19)</f>
        <v>1238.0265422212647</v>
      </c>
      <c r="L19" s="106">
        <v>53</v>
      </c>
      <c r="M19">
        <v>17</v>
      </c>
      <c r="N19" s="1">
        <f>('Data &amp; PV'!$J$9/(1+3%)^M19)</f>
        <v>130.53834835546786</v>
      </c>
    </row>
    <row r="20" spans="1:14">
      <c r="A20" s="106">
        <v>54</v>
      </c>
      <c r="B20">
        <v>18</v>
      </c>
      <c r="C20" s="1">
        <f>('Data &amp; PV'!$G$9/(1+3%)^B20)</f>
        <v>1201.9675167196744</v>
      </c>
      <c r="L20" s="106">
        <v>54</v>
      </c>
      <c r="M20">
        <v>18</v>
      </c>
      <c r="N20" s="1">
        <f>('Data &amp; PV'!$J$9/(1+3%)^M20)</f>
        <v>126.73626053928918</v>
      </c>
    </row>
    <row r="21" spans="1:14">
      <c r="A21" s="106">
        <v>55</v>
      </c>
      <c r="B21">
        <v>19</v>
      </c>
      <c r="C21" s="1">
        <f>('Data &amp; PV'!$G$9/(1+3%)^B21)</f>
        <v>1166.9587540967714</v>
      </c>
      <c r="L21" s="106">
        <v>55</v>
      </c>
      <c r="M21">
        <v>19</v>
      </c>
      <c r="N21" s="1">
        <f>('Data &amp; PV'!$J$9/(1+3%)^M21)</f>
        <v>123.04491314494095</v>
      </c>
    </row>
    <row r="22" spans="1:14">
      <c r="A22" s="106">
        <v>56</v>
      </c>
      <c r="B22">
        <v>20</v>
      </c>
      <c r="C22" s="1">
        <f>('Data &amp; PV'!$G$9/(1+3%)^B22)</f>
        <v>1132.9696641716228</v>
      </c>
      <c r="L22" s="106">
        <v>56</v>
      </c>
      <c r="M22">
        <v>20</v>
      </c>
      <c r="N22" s="1">
        <f>('Data &amp; PV'!$J$9/(1+3%)^M22)</f>
        <v>119.46108072324364</v>
      </c>
    </row>
    <row r="23" spans="1:14">
      <c r="A23" s="106">
        <v>57</v>
      </c>
      <c r="B23">
        <v>21</v>
      </c>
      <c r="C23" s="1">
        <f>('Data &amp; PV'!$G$9/(1+3%)^B23)</f>
        <v>1099.9705477394396</v>
      </c>
      <c r="L23" s="106">
        <v>57</v>
      </c>
      <c r="M23">
        <v>21</v>
      </c>
      <c r="N23" s="1">
        <f>('Data &amp; PV'!$J$9/(1+3%)^M23)</f>
        <v>115.98163177013947</v>
      </c>
    </row>
    <row r="24" spans="1:14">
      <c r="A24" s="106">
        <v>58</v>
      </c>
      <c r="B24">
        <v>22</v>
      </c>
      <c r="C24" s="1">
        <f>('Data &amp; PV'!$G$9/(1+3%)^B24)</f>
        <v>1067.9325706208151</v>
      </c>
      <c r="L24" s="106">
        <v>58</v>
      </c>
      <c r="M24">
        <v>22</v>
      </c>
      <c r="N24" s="1">
        <f>('Data &amp; PV'!$J$9/(1+3%)^M24)</f>
        <v>112.60352599042666</v>
      </c>
    </row>
    <row r="25" spans="1:14">
      <c r="A25" s="106">
        <v>59</v>
      </c>
      <c r="B25">
        <v>23</v>
      </c>
      <c r="C25" s="1">
        <f>('Data &amp; PV'!$G$9/(1+3%)^B25)</f>
        <v>1036.8277384668106</v>
      </c>
      <c r="L25" s="106">
        <v>59</v>
      </c>
      <c r="M25">
        <v>23</v>
      </c>
      <c r="N25" s="1">
        <f>('Data &amp; PV'!$J$9/(1+3%)^M25)</f>
        <v>109.32381164119093</v>
      </c>
    </row>
    <row r="26" spans="1:14">
      <c r="A26" s="106">
        <v>60</v>
      </c>
      <c r="B26">
        <v>24</v>
      </c>
      <c r="C26" s="1">
        <f>('Data &amp; PV'!$G$9/(1+3%)^B26)</f>
        <v>1006.6288722978746</v>
      </c>
      <c r="L26" s="106">
        <v>60</v>
      </c>
      <c r="M26">
        <v>24</v>
      </c>
      <c r="N26" s="1">
        <f>('Data &amp; PV'!$J$9/(1+3%)^M26)</f>
        <v>106.13962295261257</v>
      </c>
    </row>
    <row r="27" spans="1:14">
      <c r="A27" s="106">
        <v>61</v>
      </c>
      <c r="B27">
        <v>25</v>
      </c>
      <c r="C27" s="1">
        <f>('Data &amp; PV'!$G$9/(1+3%)^B27)</f>
        <v>977.30958475521811</v>
      </c>
      <c r="L27" s="106">
        <v>61</v>
      </c>
      <c r="M27">
        <v>25</v>
      </c>
      <c r="N27" s="1">
        <f>('Data &amp; PV'!$J$9/(1+3%)^M27)</f>
        <v>103.0481776238957</v>
      </c>
    </row>
    <row r="28" spans="1:14">
      <c r="A28" s="106">
        <v>62</v>
      </c>
      <c r="B28">
        <v>26</v>
      </c>
      <c r="C28" s="1">
        <f>('Data &amp; PV'!$G$9/(1+3%)^B28)</f>
        <v>948.84425704390094</v>
      </c>
      <c r="L28" s="106">
        <v>62</v>
      </c>
      <c r="M28">
        <v>26</v>
      </c>
      <c r="N28" s="1">
        <f>('Data &amp; PV'!$J$9/(1+3%)^M28)</f>
        <v>100.04677439213174</v>
      </c>
    </row>
    <row r="29" spans="1:14">
      <c r="A29" s="106">
        <v>63</v>
      </c>
      <c r="B29">
        <v>27</v>
      </c>
      <c r="C29" s="1">
        <f>('Data &amp; PV'!$G$9/(1+3%)^B29)</f>
        <v>921.20801654747675</v>
      </c>
      <c r="L29" s="106">
        <v>63</v>
      </c>
      <c r="M29">
        <v>27</v>
      </c>
      <c r="N29" s="1">
        <f>('Data &amp; PV'!$J$9/(1+3%)^M29)</f>
        <v>97.132790671972572</v>
      </c>
    </row>
    <row r="30" spans="1:14">
      <c r="A30" s="106">
        <v>64</v>
      </c>
      <c r="B30">
        <v>28</v>
      </c>
      <c r="C30" s="1">
        <f>('Data &amp; PV'!$G$9/(1+3%)^B30)</f>
        <v>894.37671509463758</v>
      </c>
      <c r="L30" s="106">
        <v>64</v>
      </c>
      <c r="M30">
        <v>28</v>
      </c>
      <c r="N30" s="1">
        <f>('Data &amp; PV'!$J$9/(1+3%)^M30)</f>
        <v>94.303680264051039</v>
      </c>
    </row>
    <row r="31" spans="1:14">
      <c r="A31" s="106">
        <v>65</v>
      </c>
      <c r="B31">
        <v>29</v>
      </c>
      <c r="C31" s="1">
        <f>('Data &amp; PV'!$G$9/(1+3%)^B31)</f>
        <v>868.32690785887155</v>
      </c>
      <c r="L31" s="106">
        <v>65</v>
      </c>
      <c r="M31">
        <v>29</v>
      </c>
      <c r="N31" s="1">
        <f>('Data &amp; PV'!$J$9/(1+3%)^M31)</f>
        <v>91.55697113014665</v>
      </c>
    </row>
    <row r="32" spans="1:14">
      <c r="A32" s="106">
        <v>66</v>
      </c>
      <c r="B32">
        <v>30</v>
      </c>
      <c r="C32" s="1">
        <f>('Data &amp; PV'!$G$9/(1+3%)^B32)</f>
        <v>843.03583287269078</v>
      </c>
      <c r="L32" s="224" t="s">
        <v>150</v>
      </c>
      <c r="M32" s="29"/>
      <c r="N32" s="223">
        <f>SUM(N5:N31)</f>
        <v>3529.7997763963713</v>
      </c>
    </row>
    <row r="33" spans="1:3" s="3" customFormat="1">
      <c r="A33" s="106">
        <v>67</v>
      </c>
      <c r="B33">
        <v>31</v>
      </c>
      <c r="C33" s="1">
        <f>('Data &amp; PV'!$G$9/(1+3%)^B33)</f>
        <v>818.4813911385346</v>
      </c>
    </row>
    <row r="34" spans="1:3">
      <c r="A34" s="106">
        <v>68</v>
      </c>
      <c r="B34">
        <v>32</v>
      </c>
      <c r="C34" s="1">
        <f>('Data &amp; PV'!$G$9/(1+3%)^B34)</f>
        <v>794.64212731896578</v>
      </c>
    </row>
    <row r="35" spans="1:3">
      <c r="A35" s="106">
        <v>69</v>
      </c>
      <c r="B35">
        <v>33</v>
      </c>
      <c r="C35" s="1">
        <f>('Data &amp; PV'!$G$9/(1+3%)^B35)</f>
        <v>771.49721098928717</v>
      </c>
    </row>
    <row r="36" spans="1:3">
      <c r="A36" s="106">
        <v>70</v>
      </c>
      <c r="B36">
        <v>34</v>
      </c>
      <c r="C36" s="1">
        <f>('Data &amp; PV'!$G$9/(1+3%)^B36)</f>
        <v>749.02641843620131</v>
      </c>
    </row>
    <row r="37" spans="1:3">
      <c r="A37" s="106">
        <v>71</v>
      </c>
      <c r="B37">
        <v>35</v>
      </c>
      <c r="C37" s="1">
        <f>('Data &amp; PV'!$G$9/(1+3%)^B37)</f>
        <v>727.210114986603</v>
      </c>
    </row>
    <row r="38" spans="1:3">
      <c r="A38" s="106">
        <v>72</v>
      </c>
      <c r="B38">
        <v>36</v>
      </c>
      <c r="C38" s="1">
        <f>('Data &amp; PV'!$G$9/(1+3%)^B38)</f>
        <v>706.029237851071</v>
      </c>
    </row>
    <row r="39" spans="1:3">
      <c r="A39" s="106">
        <v>73</v>
      </c>
      <c r="B39">
        <v>37</v>
      </c>
      <c r="C39" s="1">
        <f>('Data &amp; PV'!$G$9/(1+3%)^B39)</f>
        <v>685.4652794670593</v>
      </c>
    </row>
    <row r="40" spans="1:3">
      <c r="A40" s="106">
        <v>74</v>
      </c>
      <c r="B40">
        <v>38</v>
      </c>
      <c r="C40" s="1">
        <f>('Data &amp; PV'!$G$9/(1+3%)^B40)</f>
        <v>665.50027132724199</v>
      </c>
    </row>
    <row r="41" spans="1:3">
      <c r="A41" s="106">
        <v>75</v>
      </c>
      <c r="B41">
        <v>39</v>
      </c>
      <c r="C41" s="1">
        <f>('Data &amp; PV'!$G$9/(1+3%)^B41)</f>
        <v>646.11676827887561</v>
      </c>
    </row>
    <row r="42" spans="1:3">
      <c r="A42" s="106">
        <v>76</v>
      </c>
      <c r="B42">
        <v>40</v>
      </c>
      <c r="C42" s="1">
        <f>('Data &amp; PV'!$G$9/(1+3%)^B42)</f>
        <v>627.29783328046187</v>
      </c>
    </row>
    <row r="43" spans="1:3">
      <c r="A43" s="106">
        <v>77</v>
      </c>
      <c r="B43">
        <v>41</v>
      </c>
      <c r="C43" s="1">
        <f>('Data &amp; PV'!$G$9/(1+3%)^B43)</f>
        <v>609.02702260239016</v>
      </c>
    </row>
    <row r="44" spans="1:3" s="3" customFormat="1">
      <c r="A44" s="106">
        <v>78</v>
      </c>
      <c r="B44">
        <v>42</v>
      </c>
      <c r="C44" s="1">
        <f>('Data &amp; PV'!$G$9/(1+3%)^B44)</f>
        <v>591.28837145863122</v>
      </c>
    </row>
    <row r="45" spans="1:3">
      <c r="A45" s="177" t="s">
        <v>99</v>
      </c>
      <c r="B45" s="177"/>
      <c r="C45" s="4">
        <f>SUM(C5:C44)</f>
        <v>42711.261846771878</v>
      </c>
    </row>
  </sheetData>
  <mergeCells count="6">
    <mergeCell ref="A1:C1"/>
    <mergeCell ref="A2:C2"/>
    <mergeCell ref="A3:C3"/>
    <mergeCell ref="L1:N1"/>
    <mergeCell ref="L2:N2"/>
    <mergeCell ref="L3:N3"/>
  </mergeCells>
  <phoneticPr fontId="7" type="noConversion"/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topLeftCell="A16" workbookViewId="0">
      <selection activeCell="O25" sqref="O25"/>
    </sheetView>
  </sheetViews>
  <sheetFormatPr defaultColWidth="8.85546875" defaultRowHeight="15"/>
  <cols>
    <col min="3" max="3" width="13.85546875" style="1" bestFit="1" customWidth="1"/>
  </cols>
  <sheetData>
    <row r="1" spans="1:20" ht="35.25" customHeight="1">
      <c r="A1" s="326" t="s">
        <v>151</v>
      </c>
      <c r="B1" s="327"/>
      <c r="C1" s="327"/>
      <c r="D1" s="8"/>
      <c r="E1" s="8"/>
      <c r="F1" s="8"/>
      <c r="G1" s="8"/>
      <c r="K1" s="326" t="s">
        <v>152</v>
      </c>
      <c r="L1" s="327"/>
      <c r="M1" s="327"/>
    </row>
    <row r="2" spans="1:20" s="3" customFormat="1" ht="24" customHeight="1">
      <c r="A2" s="326" t="s">
        <v>89</v>
      </c>
      <c r="B2" s="327"/>
      <c r="C2" s="327"/>
      <c r="D2" s="7"/>
      <c r="E2" s="7"/>
      <c r="F2" s="7"/>
      <c r="K2" s="326" t="s">
        <v>132</v>
      </c>
      <c r="L2" s="327"/>
      <c r="M2" s="327"/>
    </row>
    <row r="3" spans="1:20" s="3" customFormat="1" ht="51" customHeight="1">
      <c r="A3" s="326" t="s">
        <v>153</v>
      </c>
      <c r="B3" s="327"/>
      <c r="C3" s="327"/>
      <c r="D3" s="6"/>
      <c r="E3" s="6"/>
      <c r="F3" s="6"/>
      <c r="K3" s="326" t="s">
        <v>154</v>
      </c>
      <c r="L3" s="327"/>
      <c r="M3" s="327"/>
    </row>
    <row r="4" spans="1:20">
      <c r="A4" t="s">
        <v>94</v>
      </c>
      <c r="B4" t="s">
        <v>95</v>
      </c>
      <c r="C4" s="1" t="s">
        <v>96</v>
      </c>
      <c r="K4" s="42" t="s">
        <v>94</v>
      </c>
      <c r="L4" s="43" t="s">
        <v>95</v>
      </c>
      <c r="M4" s="46" t="s">
        <v>96</v>
      </c>
    </row>
    <row r="5" spans="1:20">
      <c r="A5" s="106">
        <v>37</v>
      </c>
      <c r="B5">
        <v>0</v>
      </c>
      <c r="C5" s="1">
        <f>(0/(1+10%)^B5)</f>
        <v>0</v>
      </c>
      <c r="K5" s="63">
        <v>37</v>
      </c>
      <c r="L5" s="59">
        <v>0</v>
      </c>
      <c r="M5" s="64">
        <f>(0/(1+5%)^L5)</f>
        <v>0</v>
      </c>
    </row>
    <row r="6" spans="1:20">
      <c r="A6" s="106">
        <v>38</v>
      </c>
      <c r="B6">
        <v>1</v>
      </c>
      <c r="C6" s="1">
        <f>('Data &amp; PV'!$G$10/(1+3%)^B6)</f>
        <v>1758.3645368932036</v>
      </c>
      <c r="D6" s="79"/>
      <c r="E6" s="79"/>
      <c r="F6" s="79"/>
      <c r="G6" s="79"/>
      <c r="H6" s="79"/>
      <c r="I6" s="79"/>
      <c r="J6" s="79"/>
      <c r="K6" s="65">
        <v>38</v>
      </c>
      <c r="L6" s="60">
        <v>1</v>
      </c>
      <c r="M6" s="64">
        <f>('Data &amp; PV'!$J$10/(1+3%)^L6)</f>
        <v>84.466019417475721</v>
      </c>
      <c r="N6" s="79"/>
      <c r="O6" s="79"/>
      <c r="P6" s="79"/>
      <c r="Q6" s="79"/>
      <c r="R6" s="79"/>
      <c r="S6" s="79"/>
      <c r="T6" s="79"/>
    </row>
    <row r="7" spans="1:20">
      <c r="A7" s="106">
        <v>39</v>
      </c>
      <c r="B7">
        <v>2</v>
      </c>
      <c r="C7" s="1">
        <f>('Data &amp; PV'!$G$10/(1+3%)^B7)</f>
        <v>1707.1500358186445</v>
      </c>
      <c r="D7" s="79"/>
      <c r="E7" s="79"/>
      <c r="F7" s="79"/>
      <c r="G7" s="79"/>
      <c r="H7" s="79"/>
      <c r="I7" s="79"/>
      <c r="J7" s="79"/>
      <c r="K7" s="63">
        <v>39</v>
      </c>
      <c r="L7" s="59">
        <v>2</v>
      </c>
      <c r="M7" s="64">
        <f>('Data &amp; PV'!$J$10/(1+3%)^L7)</f>
        <v>82.005844094636629</v>
      </c>
      <c r="N7" s="79"/>
      <c r="O7" s="79"/>
      <c r="P7" s="79"/>
      <c r="Q7" s="79"/>
      <c r="R7" s="79"/>
      <c r="S7" s="79"/>
      <c r="T7" s="79"/>
    </row>
    <row r="8" spans="1:20">
      <c r="A8" s="106">
        <v>40</v>
      </c>
      <c r="B8">
        <v>3</v>
      </c>
      <c r="C8" s="1">
        <f>('Data &amp; PV'!$G$10/(1+3%)^B8)</f>
        <v>1657.4272192414023</v>
      </c>
      <c r="K8" s="65">
        <v>40</v>
      </c>
      <c r="L8" s="60">
        <v>3</v>
      </c>
      <c r="M8" s="64">
        <f>('Data &amp; PV'!$J$10/(1+3%)^L8)</f>
        <v>79.617324363724876</v>
      </c>
    </row>
    <row r="9" spans="1:20">
      <c r="A9" s="106">
        <v>41</v>
      </c>
      <c r="B9">
        <v>4</v>
      </c>
      <c r="C9" s="1">
        <f>('Data &amp; PV'!$G$10/(1+3%)^B9)</f>
        <v>1609.1526400401965</v>
      </c>
      <c r="K9" s="63">
        <v>41</v>
      </c>
      <c r="L9" s="59">
        <v>4</v>
      </c>
      <c r="M9" s="64">
        <f>('Data &amp; PV'!$J$10/(1+3%)^L9)</f>
        <v>77.298373168664938</v>
      </c>
    </row>
    <row r="10" spans="1:20">
      <c r="A10" s="106">
        <v>42</v>
      </c>
      <c r="B10">
        <v>5</v>
      </c>
      <c r="C10" s="1">
        <f>('Data &amp; PV'!$G$10/(1+3%)^B10)</f>
        <v>1562.2841165438801</v>
      </c>
      <c r="K10" s="65">
        <v>42</v>
      </c>
      <c r="L10" s="60">
        <v>5</v>
      </c>
      <c r="M10" s="64">
        <f>('Data &amp; PV'!$J$10/(1+3%)^L10)</f>
        <v>75.046964241422273</v>
      </c>
    </row>
    <row r="11" spans="1:20">
      <c r="A11" s="106">
        <v>43</v>
      </c>
      <c r="B11">
        <v>6</v>
      </c>
      <c r="C11" s="1">
        <f>('Data &amp; PV'!$G$10/(1+3%)^B11)</f>
        <v>1516.7806956736702</v>
      </c>
      <c r="K11" s="63">
        <v>43</v>
      </c>
      <c r="L11" s="59">
        <v>6</v>
      </c>
      <c r="M11" s="64">
        <f>('Data &amp; PV'!$J$10/(1+3%)^L11)</f>
        <v>72.861130331477938</v>
      </c>
    </row>
    <row r="12" spans="1:20">
      <c r="A12" s="106">
        <v>44</v>
      </c>
      <c r="B12">
        <v>7</v>
      </c>
      <c r="C12" s="1">
        <f>('Data &amp; PV'!$G$10/(1+3%)^B12)</f>
        <v>1472.6026171589028</v>
      </c>
      <c r="K12" s="65">
        <v>44</v>
      </c>
      <c r="L12" s="60">
        <v>7</v>
      </c>
      <c r="M12" s="64">
        <f>('Data &amp; PV'!$J$10/(1+3%)^L12)</f>
        <v>70.738961486871773</v>
      </c>
    </row>
    <row r="13" spans="1:20">
      <c r="A13" s="106">
        <v>45</v>
      </c>
      <c r="B13">
        <v>8</v>
      </c>
      <c r="C13" s="1">
        <f>('Data &amp; PV'!$G$10/(1+3%)^B13)</f>
        <v>1429.7112787950514</v>
      </c>
      <c r="K13" s="63">
        <v>45</v>
      </c>
      <c r="L13" s="59">
        <v>8</v>
      </c>
      <c r="M13" s="64">
        <f>('Data &amp; PV'!$J$10/(1+3%)^L13)</f>
        <v>68.678603385312414</v>
      </c>
    </row>
    <row r="14" spans="1:20">
      <c r="A14" s="106">
        <v>46</v>
      </c>
      <c r="B14">
        <v>9</v>
      </c>
      <c r="C14" s="1">
        <f>('Data &amp; PV'!$G$10/(1+3%)^B14)</f>
        <v>1388.0692027136422</v>
      </c>
      <c r="K14" s="65">
        <v>46</v>
      </c>
      <c r="L14" s="60">
        <v>9</v>
      </c>
      <c r="M14" s="64">
        <f>('Data &amp; PV'!$J$10/(1+3%)^L14)</f>
        <v>66.678255713895538</v>
      </c>
    </row>
    <row r="15" spans="1:20">
      <c r="A15" s="106">
        <v>47</v>
      </c>
      <c r="B15">
        <v>10</v>
      </c>
      <c r="C15" s="1">
        <f>('Data &amp; PV'!$G$10/(1+3%)^B15)</f>
        <v>1347.6400026346041</v>
      </c>
      <c r="K15" s="63">
        <v>47</v>
      </c>
      <c r="L15" s="59">
        <v>10</v>
      </c>
      <c r="M15" s="64">
        <f>('Data &amp; PV'!$J$10/(1+3%)^L15)</f>
        <v>64.736170596015086</v>
      </c>
    </row>
    <row r="16" spans="1:20">
      <c r="A16" s="106">
        <v>48</v>
      </c>
      <c r="B16">
        <v>11</v>
      </c>
      <c r="C16" s="1">
        <f>('Data &amp; PV'!$G$10/(1+3%)^B16)</f>
        <v>1308.3883520724312</v>
      </c>
      <c r="K16" s="65">
        <v>48</v>
      </c>
      <c r="L16" s="60">
        <v>11</v>
      </c>
      <c r="M16" s="64">
        <f>('Data &amp; PV'!$J$10/(1+3%)^L16)</f>
        <v>62.850651064092318</v>
      </c>
    </row>
    <row r="17" spans="1:13">
      <c r="A17" s="106">
        <v>49</v>
      </c>
      <c r="B17">
        <v>12</v>
      </c>
      <c r="C17" s="1">
        <f>('Data &amp; PV'!$G$10/(1+3%)^B17)</f>
        <v>1270.27995346838</v>
      </c>
      <c r="K17" s="63">
        <v>49</v>
      </c>
      <c r="L17" s="59">
        <v>12</v>
      </c>
      <c r="M17" s="64">
        <f>('Data &amp; PV'!$J$10/(1+3%)^L17)</f>
        <v>61.020049576788672</v>
      </c>
    </row>
    <row r="18" spans="1:13">
      <c r="A18" s="106">
        <v>50</v>
      </c>
      <c r="B18">
        <v>13</v>
      </c>
      <c r="C18" s="1">
        <f>('Data &amp; PV'!$G$10/(1+3%)^B18)</f>
        <v>1233.281508221728</v>
      </c>
      <c r="K18" s="65">
        <v>50</v>
      </c>
      <c r="L18" s="60">
        <v>13</v>
      </c>
      <c r="M18" s="64">
        <f>('Data &amp; PV'!$J$10/(1+3%)^L18)</f>
        <v>59.242766579406478</v>
      </c>
    </row>
    <row r="19" spans="1:13">
      <c r="A19" s="106">
        <v>51</v>
      </c>
      <c r="B19">
        <v>14</v>
      </c>
      <c r="C19" s="1">
        <f>('Data &amp; PV'!$G$10/(1+3%)^B19)</f>
        <v>1197.3606875939106</v>
      </c>
      <c r="K19" s="63">
        <v>51</v>
      </c>
      <c r="L19" s="59">
        <v>14</v>
      </c>
      <c r="M19" s="64">
        <f>('Data &amp; PV'!$J$10/(1+3%)^L19)</f>
        <v>57.517249106219872</v>
      </c>
    </row>
    <row r="20" spans="1:13" s="3" customFormat="1">
      <c r="A20" s="106">
        <v>52</v>
      </c>
      <c r="B20">
        <v>15</v>
      </c>
      <c r="C20" s="1">
        <f>('Data &amp; PV'!$G$10/(1+3%)^B20)</f>
        <v>1162.4861044601073</v>
      </c>
      <c r="K20" s="65">
        <v>52</v>
      </c>
      <c r="L20" s="60">
        <v>15</v>
      </c>
      <c r="M20" s="64">
        <f>('Data &amp; PV'!$J$10/(1+3%)^L20)</f>
        <v>55.841989423514441</v>
      </c>
    </row>
    <row r="21" spans="1:13">
      <c r="A21" s="106">
        <v>53</v>
      </c>
      <c r="B21">
        <v>16</v>
      </c>
      <c r="C21" s="1">
        <f>('Data &amp; PV'!$G$10/(1+3%)^B21)</f>
        <v>1128.6272858835996</v>
      </c>
      <c r="K21" s="63">
        <v>53</v>
      </c>
      <c r="L21" s="59">
        <v>16</v>
      </c>
      <c r="M21" s="64">
        <f>('Data &amp; PV'!$J$10/(1+3%)^L21)</f>
        <v>54.215523712149952</v>
      </c>
    </row>
    <row r="22" spans="1:13">
      <c r="A22" s="106">
        <v>54</v>
      </c>
      <c r="B22">
        <v>17</v>
      </c>
      <c r="C22" s="1">
        <f>('Data &amp; PV'!$G$10/(1+3%)^B22)</f>
        <v>1095.7546464889317</v>
      </c>
      <c r="K22" s="65">
        <v>54</v>
      </c>
      <c r="L22" s="60">
        <v>17</v>
      </c>
      <c r="M22" s="64">
        <f>('Data &amp; PV'!$J$10/(1+3%)^L22)</f>
        <v>52.636430788495097</v>
      </c>
    </row>
    <row r="23" spans="1:13">
      <c r="A23" s="106">
        <v>55</v>
      </c>
      <c r="B23">
        <v>18</v>
      </c>
      <c r="C23" s="1">
        <f>('Data &amp; PV'!$G$10/(1+3%)^B23)</f>
        <v>1063.8394626106133</v>
      </c>
      <c r="K23" s="63">
        <v>55</v>
      </c>
      <c r="L23" s="59">
        <v>18</v>
      </c>
      <c r="M23" s="64">
        <f>('Data &amp; PV'!$J$10/(1+3%)^L23)</f>
        <v>51.103330862616595</v>
      </c>
    </row>
    <row r="24" spans="1:13">
      <c r="A24" s="106">
        <v>56</v>
      </c>
      <c r="B24">
        <v>19</v>
      </c>
      <c r="C24" s="1">
        <f>('Data &amp; PV'!$G$10/(1+3%)^B24)</f>
        <v>1032.8538471947702</v>
      </c>
      <c r="K24" s="65">
        <v>56</v>
      </c>
      <c r="L24" s="60">
        <v>19</v>
      </c>
      <c r="M24" s="64">
        <f>('Data &amp; PV'!$J$10/(1+3%)^L24)</f>
        <v>49.614884332637473</v>
      </c>
    </row>
    <row r="25" spans="1:13">
      <c r="A25" s="106">
        <v>57</v>
      </c>
      <c r="B25">
        <v>20</v>
      </c>
      <c r="C25" s="1">
        <f>('Data &amp; PV'!$G$10/(1+3%)^B25)</f>
        <v>1002.7707254318157</v>
      </c>
      <c r="K25" s="63">
        <v>57</v>
      </c>
      <c r="L25" s="59">
        <v>20</v>
      </c>
      <c r="M25" s="64">
        <f>('Data &amp; PV'!$J$10/(1+3%)^L25)</f>
        <v>48.169790614211145</v>
      </c>
    </row>
    <row r="26" spans="1:13">
      <c r="A26" s="106">
        <v>58</v>
      </c>
      <c r="B26">
        <v>21</v>
      </c>
      <c r="C26" s="1">
        <f>('Data &amp; PV'!$G$10/(1+3%)^B26)</f>
        <v>973.56381109885035</v>
      </c>
      <c r="K26" s="65">
        <v>58</v>
      </c>
      <c r="L26" s="60">
        <v>21</v>
      </c>
      <c r="M26" s="64">
        <f>('Data &amp; PV'!$J$10/(1+3%)^L26)</f>
        <v>46.766787004088492</v>
      </c>
    </row>
    <row r="27" spans="1:13">
      <c r="A27" s="106">
        <v>59</v>
      </c>
      <c r="B27">
        <v>22</v>
      </c>
      <c r="C27" s="1">
        <f>('Data &amp; PV'!$G$10/(1+3%)^B27)</f>
        <v>945.20758359111676</v>
      </c>
      <c r="K27" s="63">
        <v>59</v>
      </c>
      <c r="L27" s="59">
        <v>22</v>
      </c>
      <c r="M27" s="64">
        <f>('Data &amp; PV'!$J$10/(1+3%)^L27)</f>
        <v>45.404647576784939</v>
      </c>
    </row>
    <row r="28" spans="1:13">
      <c r="A28" s="106">
        <v>60</v>
      </c>
      <c r="B28">
        <v>23</v>
      </c>
      <c r="C28" s="1">
        <f>('Data &amp; PV'!$G$10/(1+3%)^B28)</f>
        <v>917.67726562244331</v>
      </c>
      <c r="K28" s="65">
        <v>60</v>
      </c>
      <c r="L28" s="60">
        <v>23</v>
      </c>
      <c r="M28" s="64">
        <f>('Data &amp; PV'!$J$10/(1+3%)^L28)</f>
        <v>44.082182113383432</v>
      </c>
    </row>
    <row r="29" spans="1:13">
      <c r="A29" s="106">
        <v>61</v>
      </c>
      <c r="B29">
        <v>24</v>
      </c>
      <c r="C29" s="1">
        <f>('Data &amp; PV'!$G$10/(1+3%)^B29)</f>
        <v>890.94880157518787</v>
      </c>
      <c r="K29" s="63">
        <v>61</v>
      </c>
      <c r="L29" s="59">
        <v>24</v>
      </c>
      <c r="M29" s="64">
        <f>('Data &amp; PV'!$J$10/(1+3%)^L29)</f>
        <v>42.798235061537319</v>
      </c>
    </row>
    <row r="30" spans="1:13">
      <c r="A30" s="106">
        <v>62</v>
      </c>
      <c r="B30">
        <v>25</v>
      </c>
      <c r="C30" s="1">
        <f>('Data &amp; PV'!$G$10/(1+3%)^B30)</f>
        <v>864.99883648076491</v>
      </c>
      <c r="K30" s="65">
        <v>62</v>
      </c>
      <c r="L30" s="60">
        <v>25</v>
      </c>
      <c r="M30" s="64">
        <f>('Data &amp; PV'!$J$10/(1+3%)^L30)</f>
        <v>41.551684525764394</v>
      </c>
    </row>
    <row r="31" spans="1:13" s="3" customFormat="1">
      <c r="A31" s="106">
        <v>63</v>
      </c>
      <c r="B31">
        <v>26</v>
      </c>
      <c r="C31" s="1">
        <f>('Data &amp; PV'!$G$10/(1+3%)^B31)</f>
        <v>839.80469561239306</v>
      </c>
      <c r="K31" s="63">
        <v>63</v>
      </c>
      <c r="L31" s="59">
        <v>26</v>
      </c>
      <c r="M31" s="64">
        <f>('Data &amp; PV'!$J$10/(1+3%)^L31)</f>
        <v>40.341441287149891</v>
      </c>
    </row>
    <row r="32" spans="1:13">
      <c r="A32" s="106">
        <v>64</v>
      </c>
      <c r="B32">
        <v>27</v>
      </c>
      <c r="C32" s="1">
        <f>('Data &amp; PV'!$G$10/(1+3%)^B32)</f>
        <v>815.34436467222633</v>
      </c>
      <c r="K32" s="65">
        <v>64</v>
      </c>
      <c r="L32" s="60">
        <v>27</v>
      </c>
      <c r="M32" s="64">
        <f>('Data &amp; PV'!$J$10/(1+3%)^L32)</f>
        <v>39.166447851601838</v>
      </c>
    </row>
    <row r="33" spans="1:13">
      <c r="A33" s="106">
        <v>65</v>
      </c>
      <c r="B33">
        <v>28</v>
      </c>
      <c r="C33" s="1">
        <f>('Data &amp; PV'!$G$10/(1+3%)^B33)</f>
        <v>791.59647055555956</v>
      </c>
      <c r="K33" s="63">
        <v>65</v>
      </c>
      <c r="L33" s="59">
        <v>28</v>
      </c>
      <c r="M33" s="64">
        <f>('Data &amp; PV'!$J$10/(1+3%)^L33)</f>
        <v>38.025677525827028</v>
      </c>
    </row>
    <row r="34" spans="1:13">
      <c r="A34" s="106">
        <v>66</v>
      </c>
      <c r="B34">
        <v>29</v>
      </c>
      <c r="C34" s="1">
        <f>('Data &amp; PV'!$G$10/(1+3%)^B34)</f>
        <v>768.5402626753006</v>
      </c>
      <c r="K34" s="3" t="s">
        <v>119</v>
      </c>
      <c r="L34" s="3"/>
      <c r="M34" s="4">
        <f>SUM(M5:M33)</f>
        <v>1632.4774158057662</v>
      </c>
    </row>
    <row r="35" spans="1:13">
      <c r="A35" s="106">
        <v>67</v>
      </c>
      <c r="B35">
        <v>30</v>
      </c>
      <c r="C35" s="1">
        <f>('Data &amp; PV'!$G$10/(1+3%)^B35)</f>
        <v>746.15559483038896</v>
      </c>
    </row>
    <row r="36" spans="1:13">
      <c r="A36" s="106">
        <v>68</v>
      </c>
      <c r="B36">
        <v>31</v>
      </c>
      <c r="C36" s="1">
        <f>('Data &amp; PV'!$G$10/(1+3%)^B36)</f>
        <v>724.42290760231924</v>
      </c>
    </row>
    <row r="37" spans="1:13">
      <c r="A37" s="106">
        <v>69</v>
      </c>
      <c r="B37">
        <v>32</v>
      </c>
      <c r="C37" s="1">
        <f>('Data &amp; PV'!$G$10/(1+3%)^B37)</f>
        <v>703.32321126438774</v>
      </c>
    </row>
    <row r="38" spans="1:13">
      <c r="A38" s="106">
        <v>70</v>
      </c>
      <c r="B38">
        <v>33</v>
      </c>
      <c r="C38" s="1">
        <f>('Data &amp; PV'!$G$10/(1+3%)^B38)</f>
        <v>682.83806918872597</v>
      </c>
    </row>
    <row r="39" spans="1:13">
      <c r="A39" s="106">
        <v>71</v>
      </c>
      <c r="B39">
        <v>34</v>
      </c>
      <c r="C39" s="1">
        <f>('Data &amp; PV'!$G$10/(1+3%)^B39)</f>
        <v>662.94958173662724</v>
      </c>
    </row>
    <row r="40" spans="1:13">
      <c r="A40" s="106">
        <v>72</v>
      </c>
      <c r="B40">
        <v>35</v>
      </c>
      <c r="C40" s="1">
        <f>('Data &amp; PV'!$G$10/(1+3%)^B40)</f>
        <v>643.6403706180846</v>
      </c>
    </row>
    <row r="41" spans="1:13">
      <c r="A41" s="106">
        <v>73</v>
      </c>
      <c r="B41">
        <v>36</v>
      </c>
      <c r="C41" s="1">
        <f>('Data &amp; PV'!$G$10/(1+3%)^B41)</f>
        <v>624.89356370687824</v>
      </c>
    </row>
    <row r="42" spans="1:13">
      <c r="A42" s="106">
        <v>74</v>
      </c>
      <c r="B42">
        <v>37</v>
      </c>
      <c r="C42" s="1">
        <f>('Data &amp; PV'!$G$10/(1+3%)^B42)</f>
        <v>606.69278029794009</v>
      </c>
    </row>
    <row r="43" spans="1:13">
      <c r="A43" s="106">
        <v>75</v>
      </c>
      <c r="B43">
        <v>38</v>
      </c>
      <c r="C43" s="1">
        <f>('Data &amp; PV'!$G$10/(1+3%)^B43)</f>
        <v>589.02211679411664</v>
      </c>
    </row>
    <row r="44" spans="1:13">
      <c r="A44" s="106">
        <v>76</v>
      </c>
      <c r="B44">
        <v>39</v>
      </c>
      <c r="C44" s="1">
        <f>('Data &amp; PV'!$G$10/(1+3%)^B44)</f>
        <v>571.86613280982192</v>
      </c>
    </row>
    <row r="45" spans="1:13">
      <c r="A45" s="106">
        <v>77</v>
      </c>
      <c r="B45">
        <v>40</v>
      </c>
      <c r="C45" s="1">
        <f>('Data &amp; PV'!$G$10/(1+3%)^B45)</f>
        <v>555.20983767943881</v>
      </c>
    </row>
    <row r="46" spans="1:13">
      <c r="A46" s="106">
        <v>78</v>
      </c>
      <c r="B46">
        <v>41</v>
      </c>
      <c r="C46" s="1">
        <f>('Data &amp; PV'!$G$10/(1+3%)^B46)</f>
        <v>539.03867735867846</v>
      </c>
    </row>
    <row r="47" spans="1:13" s="3" customFormat="1">
      <c r="A47" s="177" t="s">
        <v>99</v>
      </c>
      <c r="B47" s="177"/>
      <c r="C47" s="4">
        <f>SUM(C5:C46)</f>
        <v>42402.559854710737</v>
      </c>
    </row>
  </sheetData>
  <mergeCells count="6">
    <mergeCell ref="A1:C1"/>
    <mergeCell ref="A2:C2"/>
    <mergeCell ref="A3:C3"/>
    <mergeCell ref="K1:M1"/>
    <mergeCell ref="K2:M2"/>
    <mergeCell ref="K3:M3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"/>
  <sheetViews>
    <sheetView workbookViewId="0">
      <selection activeCell="G12" sqref="G12"/>
    </sheetView>
  </sheetViews>
  <sheetFormatPr defaultColWidth="8.85546875" defaultRowHeight="15"/>
  <sheetData>
    <row r="1" spans="1:5">
      <c r="A1" s="328"/>
      <c r="B1" s="328"/>
      <c r="C1" s="328"/>
    </row>
    <row r="2" spans="1:5">
      <c r="A2" s="328"/>
      <c r="B2" s="328"/>
      <c r="C2" s="328"/>
    </row>
    <row r="3" spans="1:5">
      <c r="A3" s="328"/>
      <c r="B3" s="328"/>
      <c r="C3" s="328"/>
    </row>
    <row r="5" spans="1:5">
      <c r="A5" s="329" t="s">
        <v>155</v>
      </c>
      <c r="B5" s="329"/>
      <c r="C5" s="329"/>
      <c r="D5" s="329"/>
      <c r="E5" s="329"/>
    </row>
    <row r="6" spans="1:5">
      <c r="A6" s="329"/>
      <c r="B6" s="329"/>
      <c r="C6" s="329"/>
      <c r="D6" s="329"/>
      <c r="E6" s="329"/>
    </row>
    <row r="7" spans="1:5" ht="48" customHeight="1">
      <c r="A7" s="329"/>
      <c r="B7" s="329"/>
      <c r="C7" s="329"/>
      <c r="D7" s="329"/>
      <c r="E7" s="329"/>
    </row>
  </sheetData>
  <mergeCells count="4">
    <mergeCell ref="A1:C1"/>
    <mergeCell ref="A2:C2"/>
    <mergeCell ref="A3:C3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BCR</vt:lpstr>
      <vt:lpstr>biomarkers(pre-post)</vt:lpstr>
      <vt:lpstr>biomarker(6months)</vt:lpstr>
      <vt:lpstr>biometrics(1yr)</vt:lpstr>
      <vt:lpstr>RESULTS(Benefits)</vt:lpstr>
      <vt:lpstr>recalls</vt:lpstr>
      <vt:lpstr>FIGURES</vt:lpstr>
      <vt:lpstr>Washignton</vt:lpstr>
      <vt:lpstr>Data &amp; PV</vt:lpstr>
      <vt:lpstr>Colorectal Benefit</vt:lpstr>
      <vt:lpstr>Heart Disease Benefit</vt:lpstr>
      <vt:lpstr>Stroke Benefits</vt:lpstr>
      <vt:lpstr>Hypertension Benefit</vt:lpstr>
      <vt:lpstr>osteoporosis</vt:lpstr>
      <vt:lpstr>Type 2 Diabeties</vt:lpstr>
      <vt:lpstr>Obesity</vt:lpstr>
      <vt:lpstr>Foodborne illness</vt:lpstr>
      <vt:lpstr>LBW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richard acquah-sarpong</cp:lastModifiedBy>
  <cp:revision/>
  <dcterms:created xsi:type="dcterms:W3CDTF">2015-06-05T18:17:20Z</dcterms:created>
  <dcterms:modified xsi:type="dcterms:W3CDTF">2021-03-14T20:43:48Z</dcterms:modified>
  <cp:category/>
  <cp:contentStatus/>
</cp:coreProperties>
</file>