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d.docs.live.net/fde38314d602b926/Graduate School/EFNEP RESEARCH/EFNEP DATA/Sensitivity Analysis/"/>
    </mc:Choice>
  </mc:AlternateContent>
  <xr:revisionPtr revIDLastSave="44" documentId="11_348F9B2ECFC0643ACC0707D1B25FBE2303F2E2F5" xr6:coauthVersionLast="46" xr6:coauthVersionMax="46" xr10:uidLastSave="{64E54609-C353-4B4B-A15D-9451A31183AE}"/>
  <bookViews>
    <workbookView xWindow="20370" yWindow="-120" windowWidth="29040" windowHeight="15840" tabRatio="800" xr2:uid="{00000000-000D-0000-FFFF-FFFF00000000}"/>
  </bookViews>
  <sheets>
    <sheet name="BCR" sheetId="18" r:id="rId1"/>
    <sheet name="biomarkers(pre-post)" sheetId="17" r:id="rId2"/>
    <sheet name="biomarker(6months)" sheetId="16" r:id="rId3"/>
    <sheet name="biometrics(1yr)" sheetId="15" r:id="rId4"/>
    <sheet name="RESULTS(Benefits)" sheetId="13" state="hidden" r:id="rId5"/>
    <sheet name="recalls" sheetId="14" r:id="rId6"/>
    <sheet name="FIGURES" sheetId="10" r:id="rId7"/>
    <sheet name="Washignton" sheetId="12" state="hidden" r:id="rId8"/>
    <sheet name="Data &amp; PV" sheetId="1" r:id="rId9"/>
    <sheet name="Colorectal Benefit" sheetId="2" r:id="rId10"/>
    <sheet name="Heart Disease Benefit" sheetId="3" r:id="rId11"/>
    <sheet name="Stroke Benefits" sheetId="4" r:id="rId12"/>
    <sheet name="Hypertension Benefit" sheetId="5" r:id="rId13"/>
    <sheet name="osteoporosis" sheetId="6" r:id="rId14"/>
    <sheet name="Type 2 Diabeties" sheetId="7" r:id="rId15"/>
    <sheet name="Obesity" sheetId="8" r:id="rId16"/>
    <sheet name="Foodborne illness" sheetId="9" r:id="rId17"/>
    <sheet name="LBW" sheetId="11" r:id="rId1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9" i="17" l="1"/>
  <c r="R11" i="17" s="1"/>
  <c r="R9" i="15"/>
  <c r="S31" i="17"/>
  <c r="Q31" i="16"/>
  <c r="S31" i="16"/>
  <c r="Q31" i="15"/>
  <c r="S31" i="15"/>
  <c r="Q31" i="14"/>
  <c r="S31" i="14"/>
  <c r="J8" i="14"/>
  <c r="K8" i="14"/>
  <c r="L8" i="14"/>
  <c r="M8" i="14"/>
  <c r="N8" i="14"/>
  <c r="O8" i="14"/>
  <c r="P8" i="14"/>
  <c r="Q8" i="14"/>
  <c r="S8" i="14"/>
  <c r="J9" i="14"/>
  <c r="K9" i="14"/>
  <c r="L9" i="14"/>
  <c r="M9" i="14"/>
  <c r="N9" i="14"/>
  <c r="O9" i="14"/>
  <c r="P9" i="14"/>
  <c r="Q9" i="14"/>
  <c r="R9" i="14"/>
  <c r="R11" i="14" s="1"/>
  <c r="S9" i="14"/>
  <c r="J10" i="14"/>
  <c r="K10" i="14"/>
  <c r="L10" i="14"/>
  <c r="M10" i="14"/>
  <c r="N10" i="14"/>
  <c r="O10" i="14"/>
  <c r="P10" i="14"/>
  <c r="Q10" i="14"/>
  <c r="R10" i="14"/>
  <c r="S10" i="14"/>
  <c r="J11" i="14"/>
  <c r="K11" i="14"/>
  <c r="L11" i="14"/>
  <c r="M11" i="14"/>
  <c r="N11" i="14"/>
  <c r="O11" i="14"/>
  <c r="P11" i="14"/>
  <c r="Q11" i="14"/>
  <c r="S11" i="14"/>
  <c r="J23" i="14"/>
  <c r="K23" i="14"/>
  <c r="L23" i="14"/>
  <c r="M23" i="14"/>
  <c r="N23" i="14"/>
  <c r="O23" i="14"/>
  <c r="P23" i="14"/>
  <c r="Q23" i="14"/>
  <c r="S23" i="14"/>
  <c r="J24" i="14"/>
  <c r="K24" i="14"/>
  <c r="L24" i="14"/>
  <c r="L26" i="14" s="1"/>
  <c r="M24" i="14"/>
  <c r="N24" i="14"/>
  <c r="O24" i="14"/>
  <c r="P24" i="14"/>
  <c r="P26" i="14" s="1"/>
  <c r="P31" i="14" s="1"/>
  <c r="Q24" i="14"/>
  <c r="S24" i="14"/>
  <c r="J25" i="14"/>
  <c r="K25" i="14"/>
  <c r="L25" i="14"/>
  <c r="M25" i="14"/>
  <c r="N25" i="14"/>
  <c r="O25" i="14"/>
  <c r="P25" i="14"/>
  <c r="Q25" i="14"/>
  <c r="J26" i="14"/>
  <c r="K26" i="14"/>
  <c r="M26" i="14"/>
  <c r="M31" i="14" s="1"/>
  <c r="N26" i="14"/>
  <c r="O26" i="14"/>
  <c r="Q26" i="14"/>
  <c r="S26" i="14"/>
  <c r="J31" i="14"/>
  <c r="K31" i="14"/>
  <c r="N31" i="14"/>
  <c r="O31" i="14"/>
  <c r="J42" i="14"/>
  <c r="S7" i="15"/>
  <c r="S7" i="17" s="1"/>
  <c r="S22" i="17" s="1"/>
  <c r="Q7" i="15"/>
  <c r="Q7" i="16" s="1"/>
  <c r="Q22" i="16" s="1"/>
  <c r="R7" i="15"/>
  <c r="R7" i="17" s="1"/>
  <c r="R22" i="17" s="1"/>
  <c r="J5" i="17"/>
  <c r="K5" i="17"/>
  <c r="L5" i="17"/>
  <c r="M5" i="17"/>
  <c r="N5" i="17"/>
  <c r="O5" i="17"/>
  <c r="P5" i="17"/>
  <c r="Q5" i="17"/>
  <c r="R5" i="17"/>
  <c r="S5" i="17"/>
  <c r="J6" i="17"/>
  <c r="K6" i="17"/>
  <c r="K21" i="17" s="1"/>
  <c r="L6" i="17"/>
  <c r="M6" i="17"/>
  <c r="N6" i="17"/>
  <c r="O6" i="17"/>
  <c r="P6" i="17"/>
  <c r="Q6" i="17"/>
  <c r="R6" i="17"/>
  <c r="S6" i="17"/>
  <c r="J7" i="17"/>
  <c r="K7" i="17"/>
  <c r="L7" i="17"/>
  <c r="M7" i="17"/>
  <c r="N7" i="17"/>
  <c r="O7" i="17"/>
  <c r="P7" i="17"/>
  <c r="Q7" i="17"/>
  <c r="Q22" i="17" s="1"/>
  <c r="J5" i="16"/>
  <c r="K5" i="16"/>
  <c r="L5" i="16"/>
  <c r="M5" i="16"/>
  <c r="N5" i="16"/>
  <c r="O5" i="16"/>
  <c r="P5" i="16"/>
  <c r="Q5" i="16"/>
  <c r="R5" i="16"/>
  <c r="S5" i="16"/>
  <c r="J6" i="16"/>
  <c r="K6" i="16"/>
  <c r="L6" i="16"/>
  <c r="M6" i="16"/>
  <c r="N6" i="16"/>
  <c r="O6" i="16"/>
  <c r="P6" i="16"/>
  <c r="Q6" i="16"/>
  <c r="R6" i="16"/>
  <c r="S6" i="16"/>
  <c r="J7" i="16"/>
  <c r="K7" i="16"/>
  <c r="L7" i="16"/>
  <c r="M7" i="16"/>
  <c r="N7" i="16"/>
  <c r="O7" i="16"/>
  <c r="P7" i="16"/>
  <c r="S7" i="16"/>
  <c r="S22" i="16" s="1"/>
  <c r="J20" i="17"/>
  <c r="K20" i="17"/>
  <c r="L20" i="17"/>
  <c r="M20" i="17"/>
  <c r="N20" i="17"/>
  <c r="O20" i="17"/>
  <c r="P20" i="17"/>
  <c r="Q20" i="17"/>
  <c r="R20" i="17"/>
  <c r="S20" i="17"/>
  <c r="J21" i="17"/>
  <c r="L21" i="17"/>
  <c r="M21" i="17"/>
  <c r="N21" i="17"/>
  <c r="O21" i="17"/>
  <c r="P21" i="17"/>
  <c r="Q21" i="17"/>
  <c r="R21" i="17"/>
  <c r="S21" i="17"/>
  <c r="J22" i="17"/>
  <c r="K22" i="17"/>
  <c r="L22" i="17"/>
  <c r="M22" i="17"/>
  <c r="N22" i="17"/>
  <c r="O22" i="17"/>
  <c r="P22" i="17"/>
  <c r="J23" i="17"/>
  <c r="K23" i="17"/>
  <c r="L23" i="17"/>
  <c r="M23" i="17"/>
  <c r="N23" i="17"/>
  <c r="O23" i="17"/>
  <c r="P23" i="17"/>
  <c r="Q23" i="17"/>
  <c r="S23" i="17"/>
  <c r="J20" i="16"/>
  <c r="K20" i="16"/>
  <c r="L20" i="16"/>
  <c r="M20" i="16"/>
  <c r="N20" i="16"/>
  <c r="O20" i="16"/>
  <c r="P20" i="16"/>
  <c r="Q20" i="16"/>
  <c r="R20" i="16"/>
  <c r="S20" i="16"/>
  <c r="J21" i="16"/>
  <c r="K21" i="16"/>
  <c r="L21" i="16"/>
  <c r="M21" i="16"/>
  <c r="N21" i="16"/>
  <c r="O21" i="16"/>
  <c r="P21" i="16"/>
  <c r="Q21" i="16"/>
  <c r="R21" i="16"/>
  <c r="S21" i="16"/>
  <c r="J22" i="16"/>
  <c r="K22" i="16"/>
  <c r="L22" i="16"/>
  <c r="M22" i="16"/>
  <c r="N22" i="16"/>
  <c r="O22" i="16"/>
  <c r="P22" i="16"/>
  <c r="J23" i="16"/>
  <c r="K23" i="16"/>
  <c r="L23" i="16"/>
  <c r="M23" i="16"/>
  <c r="N23" i="16"/>
  <c r="O23" i="16"/>
  <c r="P23" i="16"/>
  <c r="Q23" i="16"/>
  <c r="R23" i="16"/>
  <c r="S23" i="16"/>
  <c r="J20" i="15"/>
  <c r="K20" i="15"/>
  <c r="L20" i="15"/>
  <c r="M20" i="15"/>
  <c r="N20" i="15"/>
  <c r="O20" i="15"/>
  <c r="P20" i="15"/>
  <c r="Q20" i="15"/>
  <c r="R20" i="15"/>
  <c r="S20" i="15"/>
  <c r="J21" i="15"/>
  <c r="K21" i="15"/>
  <c r="L21" i="15"/>
  <c r="M21" i="15"/>
  <c r="N21" i="15"/>
  <c r="O21" i="15"/>
  <c r="P21" i="15"/>
  <c r="Q21" i="15"/>
  <c r="R21" i="15"/>
  <c r="S21" i="15"/>
  <c r="J22" i="15"/>
  <c r="K22" i="15"/>
  <c r="L22" i="15"/>
  <c r="M22" i="15"/>
  <c r="N22" i="15"/>
  <c r="O22" i="15"/>
  <c r="P22" i="15"/>
  <c r="Q22" i="15"/>
  <c r="S22" i="15"/>
  <c r="J23" i="15"/>
  <c r="K23" i="15"/>
  <c r="L23" i="15"/>
  <c r="M23" i="15"/>
  <c r="N23" i="15"/>
  <c r="O23" i="15"/>
  <c r="P23" i="15"/>
  <c r="Q23" i="15"/>
  <c r="S23" i="15"/>
  <c r="J24" i="15"/>
  <c r="K24" i="15"/>
  <c r="L24" i="15"/>
  <c r="M24" i="15"/>
  <c r="N24" i="15"/>
  <c r="O24" i="15"/>
  <c r="P24" i="15"/>
  <c r="C5" i="9"/>
  <c r="M7" i="9"/>
  <c r="M8" i="9"/>
  <c r="M9" i="9"/>
  <c r="M10" i="9"/>
  <c r="M11" i="9"/>
  <c r="M12" i="9"/>
  <c r="M13" i="9"/>
  <c r="M14" i="9"/>
  <c r="M15" i="9"/>
  <c r="M16" i="9"/>
  <c r="M17" i="9"/>
  <c r="M18" i="9"/>
  <c r="M19" i="9"/>
  <c r="M20" i="9"/>
  <c r="M21" i="9"/>
  <c r="M22" i="9"/>
  <c r="M23" i="9"/>
  <c r="M24" i="9"/>
  <c r="M25" i="9"/>
  <c r="M26" i="9"/>
  <c r="M27" i="9"/>
  <c r="M28" i="9"/>
  <c r="M29" i="9"/>
  <c r="M30" i="9"/>
  <c r="M31" i="9"/>
  <c r="M32" i="9"/>
  <c r="M33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M6" i="9"/>
  <c r="N32" i="8"/>
  <c r="N7" i="8"/>
  <c r="N8" i="8"/>
  <c r="N9" i="8"/>
  <c r="N10" i="8"/>
  <c r="N11" i="8"/>
  <c r="N12" i="8"/>
  <c r="N13" i="8"/>
  <c r="N14" i="8"/>
  <c r="N15" i="8"/>
  <c r="N16" i="8"/>
  <c r="N17" i="8"/>
  <c r="N18" i="8"/>
  <c r="N19" i="8"/>
  <c r="N20" i="8"/>
  <c r="N21" i="8"/>
  <c r="N22" i="8"/>
  <c r="N23" i="8"/>
  <c r="N24" i="8"/>
  <c r="N25" i="8"/>
  <c r="N26" i="8"/>
  <c r="N27" i="8"/>
  <c r="N28" i="8"/>
  <c r="N29" i="8"/>
  <c r="N30" i="8"/>
  <c r="N31" i="8"/>
  <c r="N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6" i="8"/>
  <c r="C27" i="8"/>
  <c r="C28" i="8"/>
  <c r="C29" i="8"/>
  <c r="C30" i="8"/>
  <c r="C31" i="8"/>
  <c r="C32" i="8"/>
  <c r="C33" i="8"/>
  <c r="C34" i="8"/>
  <c r="C35" i="8"/>
  <c r="C36" i="8"/>
  <c r="C37" i="8"/>
  <c r="C38" i="8"/>
  <c r="C39" i="8"/>
  <c r="C40" i="8"/>
  <c r="C41" i="8"/>
  <c r="C42" i="8"/>
  <c r="C43" i="8"/>
  <c r="C44" i="8"/>
  <c r="C6" i="8"/>
  <c r="Q7" i="7"/>
  <c r="Q8" i="7"/>
  <c r="Q9" i="7"/>
  <c r="Q10" i="7"/>
  <c r="Q11" i="7"/>
  <c r="Q12" i="7"/>
  <c r="Q13" i="7"/>
  <c r="Q14" i="7"/>
  <c r="Q15" i="7"/>
  <c r="Q16" i="7"/>
  <c r="Q17" i="7"/>
  <c r="Q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6" i="7"/>
  <c r="M7" i="6"/>
  <c r="M8" i="6"/>
  <c r="M9" i="6"/>
  <c r="M10" i="6"/>
  <c r="M11" i="6"/>
  <c r="M12" i="6"/>
  <c r="M13" i="6"/>
  <c r="M14" i="6"/>
  <c r="M15" i="6"/>
  <c r="M16" i="6"/>
  <c r="M17" i="6"/>
  <c r="M18" i="6"/>
  <c r="M19" i="6"/>
  <c r="M20" i="6"/>
  <c r="M21" i="6"/>
  <c r="M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6" i="6"/>
  <c r="X8" i="5"/>
  <c r="X9" i="5"/>
  <c r="X10" i="5"/>
  <c r="X11" i="5"/>
  <c r="X12" i="5"/>
  <c r="X13" i="5"/>
  <c r="X14" i="5"/>
  <c r="X15" i="5"/>
  <c r="X16" i="5"/>
  <c r="X17" i="5"/>
  <c r="X18" i="5"/>
  <c r="X19" i="5"/>
  <c r="X20" i="5"/>
  <c r="X21" i="5"/>
  <c r="X22" i="5"/>
  <c r="X23" i="5"/>
  <c r="X24" i="5"/>
  <c r="X25" i="5"/>
  <c r="X26" i="5"/>
  <c r="X7" i="5"/>
  <c r="Q8" i="5"/>
  <c r="Q9" i="5"/>
  <c r="Q10" i="5"/>
  <c r="Q11" i="5"/>
  <c r="Q12" i="5"/>
  <c r="Q13" i="5"/>
  <c r="Q14" i="5"/>
  <c r="Q15" i="5"/>
  <c r="Q16" i="5"/>
  <c r="Q17" i="5"/>
  <c r="Q18" i="5"/>
  <c r="Q19" i="5"/>
  <c r="Q20" i="5"/>
  <c r="Q21" i="5"/>
  <c r="Q22" i="5"/>
  <c r="Q23" i="5"/>
  <c r="Q24" i="5"/>
  <c r="Q25" i="5"/>
  <c r="Q26" i="5"/>
  <c r="Q7" i="5"/>
  <c r="K8" i="5"/>
  <c r="K9" i="5"/>
  <c r="K10" i="5"/>
  <c r="K11" i="5"/>
  <c r="K12" i="5"/>
  <c r="K13" i="5"/>
  <c r="K14" i="5"/>
  <c r="K15" i="5"/>
  <c r="K16" i="5"/>
  <c r="K17" i="5"/>
  <c r="K18" i="5"/>
  <c r="K19" i="5"/>
  <c r="K20" i="5"/>
  <c r="K21" i="5"/>
  <c r="K22" i="5"/>
  <c r="K23" i="5"/>
  <c r="K24" i="5"/>
  <c r="K25" i="5"/>
  <c r="K26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K7" i="5"/>
  <c r="C7" i="5"/>
  <c r="X8" i="4"/>
  <c r="X9" i="4"/>
  <c r="X10" i="4"/>
  <c r="X11" i="4"/>
  <c r="X12" i="4"/>
  <c r="X13" i="4"/>
  <c r="X14" i="4"/>
  <c r="X15" i="4"/>
  <c r="X16" i="4"/>
  <c r="X7" i="4"/>
  <c r="P8" i="4"/>
  <c r="P9" i="4"/>
  <c r="P10" i="4"/>
  <c r="P11" i="4"/>
  <c r="P12" i="4"/>
  <c r="P13" i="4"/>
  <c r="P14" i="4"/>
  <c r="P15" i="4"/>
  <c r="P16" i="4"/>
  <c r="P7" i="4"/>
  <c r="K8" i="4"/>
  <c r="K9" i="4"/>
  <c r="K10" i="4"/>
  <c r="K11" i="4"/>
  <c r="K12" i="4"/>
  <c r="K13" i="4"/>
  <c r="K14" i="4"/>
  <c r="K15" i="4"/>
  <c r="K16" i="4"/>
  <c r="K7" i="4"/>
  <c r="C8" i="4"/>
  <c r="C9" i="4"/>
  <c r="C10" i="4"/>
  <c r="C11" i="4"/>
  <c r="C12" i="4"/>
  <c r="C13" i="4"/>
  <c r="C14" i="4"/>
  <c r="C15" i="4"/>
  <c r="C16" i="4"/>
  <c r="C7" i="4"/>
  <c r="W8" i="3"/>
  <c r="W9" i="3"/>
  <c r="W10" i="3"/>
  <c r="W11" i="3"/>
  <c r="W7" i="3"/>
  <c r="O8" i="3"/>
  <c r="O9" i="3"/>
  <c r="O10" i="3"/>
  <c r="O11" i="3"/>
  <c r="K8" i="3"/>
  <c r="K9" i="3"/>
  <c r="K10" i="3"/>
  <c r="K11" i="3"/>
  <c r="C8" i="3"/>
  <c r="C9" i="3"/>
  <c r="C10" i="3"/>
  <c r="C11" i="3"/>
  <c r="O7" i="3"/>
  <c r="K7" i="3"/>
  <c r="C7" i="3"/>
  <c r="C8" i="2"/>
  <c r="C9" i="2"/>
  <c r="C10" i="2"/>
  <c r="C11" i="2"/>
  <c r="K8" i="2"/>
  <c r="K9" i="2"/>
  <c r="K10" i="2"/>
  <c r="K11" i="2"/>
  <c r="O8" i="2"/>
  <c r="O9" i="2"/>
  <c r="O10" i="2"/>
  <c r="O11" i="2"/>
  <c r="W8" i="2"/>
  <c r="W9" i="2"/>
  <c r="W10" i="2"/>
  <c r="W11" i="2"/>
  <c r="W7" i="2"/>
  <c r="O7" i="2"/>
  <c r="K7" i="2"/>
  <c r="C7" i="2"/>
  <c r="C12" i="2" s="1"/>
  <c r="R10" i="16"/>
  <c r="E2" i="18"/>
  <c r="E9" i="18"/>
  <c r="E10" i="18"/>
  <c r="D2" i="18"/>
  <c r="D9" i="18"/>
  <c r="D10" i="18"/>
  <c r="C2" i="18"/>
  <c r="C9" i="18"/>
  <c r="C10" i="18"/>
  <c r="B2" i="18"/>
  <c r="B9" i="18"/>
  <c r="B10" i="18"/>
  <c r="E18" i="17"/>
  <c r="E18" i="16"/>
  <c r="R10" i="17"/>
  <c r="E18" i="15"/>
  <c r="R5" i="15"/>
  <c r="R6" i="15"/>
  <c r="R10" i="15"/>
  <c r="E18" i="14"/>
  <c r="F17" i="10"/>
  <c r="J42" i="17"/>
  <c r="E17" i="17"/>
  <c r="S8" i="17" s="1"/>
  <c r="E15" i="17"/>
  <c r="Q8" i="17" s="1"/>
  <c r="E14" i="17"/>
  <c r="P8" i="17" s="1"/>
  <c r="E13" i="17"/>
  <c r="E12" i="17"/>
  <c r="N8" i="17" s="1"/>
  <c r="O8" i="17"/>
  <c r="E8" i="17"/>
  <c r="M8" i="17" s="1"/>
  <c r="E7" i="17"/>
  <c r="L8" i="17" s="1"/>
  <c r="E6" i="17"/>
  <c r="K8" i="17" s="1"/>
  <c r="E5" i="17"/>
  <c r="J8" i="17" s="1"/>
  <c r="J42" i="16"/>
  <c r="E17" i="16"/>
  <c r="E15" i="16"/>
  <c r="Q8" i="16" s="1"/>
  <c r="E14" i="16"/>
  <c r="P8" i="16" s="1"/>
  <c r="E13" i="16"/>
  <c r="O8" i="16" s="1"/>
  <c r="E12" i="16"/>
  <c r="N8" i="16" s="1"/>
  <c r="S8" i="16"/>
  <c r="S9" i="16" s="1"/>
  <c r="S24" i="16" s="1"/>
  <c r="E8" i="16"/>
  <c r="M8" i="16" s="1"/>
  <c r="E7" i="16"/>
  <c r="L8" i="16" s="1"/>
  <c r="E6" i="16"/>
  <c r="K8" i="16" s="1"/>
  <c r="E5" i="16"/>
  <c r="J8" i="16" s="1"/>
  <c r="J42" i="15"/>
  <c r="E17" i="15"/>
  <c r="E15" i="15"/>
  <c r="E14" i="15"/>
  <c r="P8" i="15" s="1"/>
  <c r="E13" i="15"/>
  <c r="O8" i="15" s="1"/>
  <c r="E12" i="15"/>
  <c r="N8" i="15" s="1"/>
  <c r="N9" i="15" s="1"/>
  <c r="S8" i="15"/>
  <c r="S9" i="15" s="1"/>
  <c r="S24" i="15" s="1"/>
  <c r="Q8" i="15"/>
  <c r="Q9" i="15" s="1"/>
  <c r="Q24" i="15" s="1"/>
  <c r="E8" i="15"/>
  <c r="M8" i="15" s="1"/>
  <c r="M9" i="15" s="1"/>
  <c r="E7" i="15"/>
  <c r="L8" i="15" s="1"/>
  <c r="L9" i="15" s="1"/>
  <c r="E6" i="15"/>
  <c r="K8" i="15" s="1"/>
  <c r="K9" i="15" s="1"/>
  <c r="E5" i="15"/>
  <c r="J8" i="15" s="1"/>
  <c r="J9" i="15" s="1"/>
  <c r="J13" i="14" l="1"/>
  <c r="J35" i="14" s="1"/>
  <c r="J36" i="14" s="1"/>
  <c r="R31" i="14"/>
  <c r="R24" i="17"/>
  <c r="R26" i="17" s="1"/>
  <c r="R11" i="15"/>
  <c r="R24" i="15"/>
  <c r="R26" i="15" s="1"/>
  <c r="R23" i="17"/>
  <c r="R23" i="15"/>
  <c r="J28" i="14"/>
  <c r="J37" i="14" s="1"/>
  <c r="L31" i="14"/>
  <c r="Q9" i="16"/>
  <c r="Q24" i="16" s="1"/>
  <c r="R7" i="16"/>
  <c r="R22" i="16" s="1"/>
  <c r="R22" i="15"/>
  <c r="O9" i="17"/>
  <c r="O24" i="17" s="1"/>
  <c r="S9" i="17"/>
  <c r="S24" i="17" s="1"/>
  <c r="S26" i="17" s="1"/>
  <c r="N9" i="17"/>
  <c r="N24" i="17" s="1"/>
  <c r="J9" i="17"/>
  <c r="J24" i="17" s="1"/>
  <c r="K9" i="17"/>
  <c r="K24" i="17" s="1"/>
  <c r="L9" i="17"/>
  <c r="L24" i="17" s="1"/>
  <c r="M9" i="17"/>
  <c r="M24" i="17" s="1"/>
  <c r="P9" i="17"/>
  <c r="P24" i="17" s="1"/>
  <c r="Q9" i="17"/>
  <c r="Q24" i="17" s="1"/>
  <c r="N9" i="16"/>
  <c r="N24" i="16" s="1"/>
  <c r="P9" i="16"/>
  <c r="P24" i="16" s="1"/>
  <c r="J9" i="16"/>
  <c r="J24" i="16" s="1"/>
  <c r="S26" i="16"/>
  <c r="K9" i="16"/>
  <c r="K24" i="16" s="1"/>
  <c r="M9" i="16"/>
  <c r="M24" i="16" s="1"/>
  <c r="O9" i="16"/>
  <c r="O24" i="16" s="1"/>
  <c r="L9" i="16"/>
  <c r="L24" i="16" s="1"/>
  <c r="O9" i="15"/>
  <c r="P9" i="15"/>
  <c r="S26" i="15"/>
  <c r="R31" i="17" l="1"/>
  <c r="R31" i="15"/>
  <c r="J38" i="14"/>
  <c r="J39" i="14"/>
  <c r="J40" i="14" s="1"/>
  <c r="J43" i="14" s="1"/>
  <c r="R9" i="16"/>
  <c r="C6" i="2"/>
  <c r="R11" i="16" l="1"/>
  <c r="R31" i="16" s="1"/>
  <c r="R24" i="16"/>
  <c r="E17" i="14"/>
  <c r="E13" i="14"/>
  <c r="E14" i="14"/>
  <c r="E15" i="14"/>
  <c r="E12" i="14"/>
  <c r="E6" i="14"/>
  <c r="E7" i="14"/>
  <c r="E8" i="14"/>
  <c r="E5" i="14"/>
  <c r="K17" i="13" l="1"/>
  <c r="K15" i="13"/>
  <c r="K14" i="13"/>
  <c r="K13" i="13"/>
  <c r="K12" i="13"/>
  <c r="K8" i="13"/>
  <c r="K7" i="13"/>
  <c r="K6" i="13"/>
  <c r="K5" i="13"/>
  <c r="E17" i="13"/>
  <c r="E15" i="13"/>
  <c r="E14" i="13"/>
  <c r="E13" i="13"/>
  <c r="E12" i="13"/>
  <c r="E8" i="13"/>
  <c r="E7" i="13"/>
  <c r="E6" i="13"/>
  <c r="E5" i="13"/>
  <c r="V9" i="13" l="1"/>
  <c r="V24" i="13" s="1"/>
  <c r="S42" i="13" l="1"/>
  <c r="R42" i="13"/>
  <c r="U42" i="13" l="1"/>
  <c r="AC20" i="13"/>
  <c r="AD20" i="13"/>
  <c r="AE20" i="13"/>
  <c r="AF20" i="13"/>
  <c r="AG20" i="13"/>
  <c r="AH20" i="13"/>
  <c r="AI20" i="13"/>
  <c r="AJ20" i="13"/>
  <c r="AK20" i="13"/>
  <c r="AJ23" i="13"/>
  <c r="V23" i="13"/>
  <c r="AC6" i="13"/>
  <c r="AD6" i="13"/>
  <c r="AE6" i="13"/>
  <c r="AF6" i="13"/>
  <c r="AG6" i="13"/>
  <c r="AH6" i="13"/>
  <c r="AI6" i="13"/>
  <c r="AI21" i="13" s="1"/>
  <c r="AJ6" i="13"/>
  <c r="AK6" i="13"/>
  <c r="AC7" i="13"/>
  <c r="AC22" i="13" s="1"/>
  <c r="AD7" i="13"/>
  <c r="AD22" i="13" s="1"/>
  <c r="AE7" i="13"/>
  <c r="AE22" i="13" s="1"/>
  <c r="AF7" i="13"/>
  <c r="AF22" i="13" s="1"/>
  <c r="AG7" i="13"/>
  <c r="AG22" i="13" s="1"/>
  <c r="AH7" i="13"/>
  <c r="AH22" i="13" s="1"/>
  <c r="AI7" i="13"/>
  <c r="AI22" i="13" s="1"/>
  <c r="AJ7" i="13"/>
  <c r="AJ22" i="13" s="1"/>
  <c r="AK7" i="13"/>
  <c r="AK22" i="13" s="1"/>
  <c r="AH21" i="13" l="1"/>
  <c r="AD21" i="13"/>
  <c r="AE21" i="13"/>
  <c r="AK21" i="13"/>
  <c r="AG21" i="13"/>
  <c r="AC21" i="13"/>
  <c r="AJ9" i="13"/>
  <c r="AJ24" i="13" s="1"/>
  <c r="AJ21" i="13"/>
  <c r="AF21" i="13"/>
  <c r="M16" i="1" l="1"/>
  <c r="G13" i="1"/>
  <c r="G12" i="1"/>
  <c r="G10" i="1"/>
  <c r="G9" i="1"/>
  <c r="G8" i="1"/>
  <c r="G7" i="1"/>
  <c r="G5" i="1"/>
  <c r="G4" i="1"/>
  <c r="G3" i="1"/>
  <c r="G2" i="1"/>
  <c r="Z10" i="13" l="1"/>
  <c r="AK10" i="13" s="1"/>
  <c r="S10" i="17"/>
  <c r="S11" i="17" s="1"/>
  <c r="S10" i="15"/>
  <c r="S11" i="15" s="1"/>
  <c r="S10" i="16"/>
  <c r="S11" i="16" s="1"/>
  <c r="AK8" i="13"/>
  <c r="AI8" i="13"/>
  <c r="AH8" i="13"/>
  <c r="AG8" i="13"/>
  <c r="AF8" i="13"/>
  <c r="AE8" i="13"/>
  <c r="AD8" i="13"/>
  <c r="AC8" i="13"/>
  <c r="Z8" i="13"/>
  <c r="Y8" i="13"/>
  <c r="X8" i="13"/>
  <c r="W8" i="13"/>
  <c r="U8" i="13"/>
  <c r="T8" i="13"/>
  <c r="S8" i="13"/>
  <c r="R8" i="13"/>
  <c r="AE23" i="13" l="1"/>
  <c r="AE9" i="13"/>
  <c r="Z9" i="13"/>
  <c r="Z23" i="13"/>
  <c r="AF23" i="13"/>
  <c r="AF9" i="13"/>
  <c r="AK23" i="13"/>
  <c r="AK9" i="13"/>
  <c r="U9" i="13"/>
  <c r="U23" i="13"/>
  <c r="AI23" i="13"/>
  <c r="AI9" i="13"/>
  <c r="S9" i="13"/>
  <c r="S23" i="13"/>
  <c r="W9" i="13"/>
  <c r="W23" i="13"/>
  <c r="AC23" i="13"/>
  <c r="AC9" i="13"/>
  <c r="AG23" i="13"/>
  <c r="AG9" i="13"/>
  <c r="Y9" i="13"/>
  <c r="Y23" i="13"/>
  <c r="R9" i="13"/>
  <c r="R23" i="13"/>
  <c r="T9" i="13"/>
  <c r="T23" i="13"/>
  <c r="X9" i="13"/>
  <c r="X23" i="13"/>
  <c r="AD23" i="13"/>
  <c r="AD9" i="13"/>
  <c r="AH23" i="13"/>
  <c r="AH9" i="13"/>
  <c r="H16" i="12"/>
  <c r="G16" i="12"/>
  <c r="G14" i="12"/>
  <c r="G13" i="12"/>
  <c r="G12" i="12"/>
  <c r="G11" i="12"/>
  <c r="G7" i="12"/>
  <c r="G6" i="12"/>
  <c r="G5" i="12"/>
  <c r="G4" i="12"/>
  <c r="AH24" i="13" l="1"/>
  <c r="X24" i="13"/>
  <c r="Z24" i="13"/>
  <c r="Z26" i="13" s="1"/>
  <c r="Z11" i="13"/>
  <c r="AK24" i="13"/>
  <c r="AK26" i="13" s="1"/>
  <c r="AK11" i="13"/>
  <c r="R24" i="13"/>
  <c r="AD24" i="13"/>
  <c r="AC24" i="13"/>
  <c r="AF24" i="13"/>
  <c r="AE24" i="13"/>
  <c r="AG24" i="13"/>
  <c r="AI24" i="13"/>
  <c r="W24" i="13"/>
  <c r="T24" i="13"/>
  <c r="Y24" i="13"/>
  <c r="S24" i="13"/>
  <c r="U24" i="13"/>
  <c r="J7" i="1"/>
  <c r="J8" i="1"/>
  <c r="J9" i="1"/>
  <c r="J10" i="1"/>
  <c r="X6" i="4"/>
  <c r="J5" i="1"/>
  <c r="J4" i="1"/>
  <c r="J3" i="1"/>
  <c r="J2" i="1"/>
  <c r="F16" i="10" l="1"/>
  <c r="M5" i="9"/>
  <c r="N5" i="8"/>
  <c r="M5" i="6"/>
  <c r="Q5" i="7"/>
  <c r="X6" i="5"/>
  <c r="Q6" i="5"/>
  <c r="P6" i="4" l="1"/>
  <c r="O6" i="3"/>
  <c r="W6" i="3"/>
  <c r="O12" i="3" l="1"/>
  <c r="W12" i="2"/>
  <c r="C5" i="7"/>
  <c r="M22" i="6" l="1"/>
  <c r="G11" i="10" s="1"/>
  <c r="K7" i="1" s="1"/>
  <c r="W12" i="3"/>
  <c r="S16" i="3" s="1"/>
  <c r="P17" i="4"/>
  <c r="X17" i="4"/>
  <c r="M34" i="9"/>
  <c r="Q18" i="7"/>
  <c r="X27" i="5"/>
  <c r="Q27" i="5"/>
  <c r="O12" i="2"/>
  <c r="R15" i="2" s="1"/>
  <c r="C5" i="8"/>
  <c r="K6" i="5"/>
  <c r="K6" i="4"/>
  <c r="K6" i="3"/>
  <c r="K6" i="2"/>
  <c r="C6" i="5"/>
  <c r="C5" i="6"/>
  <c r="O25" i="15" l="1"/>
  <c r="O26" i="15" s="1"/>
  <c r="O25" i="17"/>
  <c r="O26" i="17" s="1"/>
  <c r="O25" i="16"/>
  <c r="O26" i="16" s="1"/>
  <c r="P25" i="15"/>
  <c r="P26" i="15" s="1"/>
  <c r="P25" i="16"/>
  <c r="P26" i="16" s="1"/>
  <c r="P25" i="17"/>
  <c r="P26" i="17" s="1"/>
  <c r="K25" i="17"/>
  <c r="K26" i="17" s="1"/>
  <c r="K25" i="16"/>
  <c r="K26" i="16" s="1"/>
  <c r="K25" i="15"/>
  <c r="K26" i="15" s="1"/>
  <c r="J25" i="17"/>
  <c r="J26" i="17" s="1"/>
  <c r="J25" i="16"/>
  <c r="J26" i="16" s="1"/>
  <c r="J25" i="15"/>
  <c r="J26" i="15" s="1"/>
  <c r="N25" i="17"/>
  <c r="N26" i="17" s="1"/>
  <c r="N25" i="16"/>
  <c r="N26" i="16" s="1"/>
  <c r="N25" i="15"/>
  <c r="N26" i="15" s="1"/>
  <c r="AC25" i="13"/>
  <c r="AC26" i="13" s="1"/>
  <c r="R25" i="13"/>
  <c r="R26" i="13" s="1"/>
  <c r="AH25" i="13"/>
  <c r="AH26" i="13" s="1"/>
  <c r="W25" i="13"/>
  <c r="W26" i="13" s="1"/>
  <c r="AJ25" i="13"/>
  <c r="AJ26" i="13" s="1"/>
  <c r="Y25" i="13"/>
  <c r="Y26" i="13" s="1"/>
  <c r="AI25" i="13"/>
  <c r="AI26" i="13" s="1"/>
  <c r="X25" i="13"/>
  <c r="X26" i="13" s="1"/>
  <c r="AD25" i="13"/>
  <c r="AD26" i="13" s="1"/>
  <c r="S25" i="13"/>
  <c r="S26" i="13" s="1"/>
  <c r="I11" i="12"/>
  <c r="AG25" i="13"/>
  <c r="AG26" i="13" s="1"/>
  <c r="V25" i="13"/>
  <c r="V26" i="13" s="1"/>
  <c r="G5" i="10"/>
  <c r="K3" i="1" s="1"/>
  <c r="I5" i="12"/>
  <c r="G4" i="10"/>
  <c r="K2" i="1" s="1"/>
  <c r="I4" i="12"/>
  <c r="G14" i="10"/>
  <c r="I14" i="12"/>
  <c r="G13" i="10"/>
  <c r="K9" i="1" s="1"/>
  <c r="I13" i="12"/>
  <c r="G12" i="10"/>
  <c r="K8" i="1" s="1"/>
  <c r="I12" i="12"/>
  <c r="C35" i="6"/>
  <c r="C45" i="8"/>
  <c r="F13" i="10" s="1"/>
  <c r="U18" i="4"/>
  <c r="S29" i="5"/>
  <c r="K12" i="3"/>
  <c r="K27" i="5"/>
  <c r="K12" i="2"/>
  <c r="C47" i="9"/>
  <c r="Y10" i="13" s="1"/>
  <c r="K17" i="4"/>
  <c r="C31" i="7"/>
  <c r="C27" i="5"/>
  <c r="C6" i="4"/>
  <c r="C17" i="4" s="1"/>
  <c r="C6" i="3"/>
  <c r="N10" i="17" l="1"/>
  <c r="N11" i="17" s="1"/>
  <c r="N31" i="17" s="1"/>
  <c r="N10" i="16"/>
  <c r="N11" i="16" s="1"/>
  <c r="N31" i="16" s="1"/>
  <c r="N10" i="15"/>
  <c r="N11" i="15" s="1"/>
  <c r="N31" i="15" s="1"/>
  <c r="O10" i="15"/>
  <c r="O11" i="15" s="1"/>
  <c r="O31" i="15" s="1"/>
  <c r="O10" i="16"/>
  <c r="O11" i="16" s="1"/>
  <c r="O31" i="16" s="1"/>
  <c r="O10" i="17"/>
  <c r="O11" i="17" s="1"/>
  <c r="O31" i="17" s="1"/>
  <c r="L25" i="15"/>
  <c r="L26" i="15" s="1"/>
  <c r="L25" i="17"/>
  <c r="L26" i="17" s="1"/>
  <c r="L25" i="16"/>
  <c r="L26" i="16" s="1"/>
  <c r="Q25" i="15"/>
  <c r="Q26" i="15" s="1"/>
  <c r="Q25" i="16"/>
  <c r="Q26" i="16" s="1"/>
  <c r="Q25" i="17"/>
  <c r="Q26" i="17" s="1"/>
  <c r="M25" i="15"/>
  <c r="M26" i="15" s="1"/>
  <c r="M25" i="17"/>
  <c r="M26" i="17" s="1"/>
  <c r="M25" i="16"/>
  <c r="M26" i="16" s="1"/>
  <c r="P10" i="16"/>
  <c r="P11" i="16" s="1"/>
  <c r="P31" i="16" s="1"/>
  <c r="P10" i="17"/>
  <c r="P11" i="17" s="1"/>
  <c r="P31" i="17" s="1"/>
  <c r="P10" i="15"/>
  <c r="P11" i="15" s="1"/>
  <c r="P31" i="15" s="1"/>
  <c r="K10" i="1"/>
  <c r="W10" i="13"/>
  <c r="AH10" i="13" s="1"/>
  <c r="AH11" i="13" s="1"/>
  <c r="W11" i="13"/>
  <c r="AJ10" i="13"/>
  <c r="AJ11" i="13" s="1"/>
  <c r="Y11" i="13"/>
  <c r="AF25" i="13"/>
  <c r="AF26" i="13" s="1"/>
  <c r="U25" i="13"/>
  <c r="U26" i="13" s="1"/>
  <c r="AE25" i="13"/>
  <c r="AE26" i="13" s="1"/>
  <c r="T25" i="13"/>
  <c r="T26" i="13" s="1"/>
  <c r="H13" i="12"/>
  <c r="X10" i="13"/>
  <c r="H11" i="12"/>
  <c r="V10" i="13"/>
  <c r="F11" i="10"/>
  <c r="G7" i="10"/>
  <c r="K5" i="1" s="1"/>
  <c r="I7" i="12"/>
  <c r="G6" i="10"/>
  <c r="K4" i="1" s="1"/>
  <c r="I6" i="12"/>
  <c r="F14" i="10"/>
  <c r="H14" i="12"/>
  <c r="F12" i="10"/>
  <c r="H12" i="12"/>
  <c r="G29" i="5"/>
  <c r="G18" i="4"/>
  <c r="C12" i="3"/>
  <c r="G16" i="3" s="1"/>
  <c r="B6" i="18" l="1"/>
  <c r="B5" i="18"/>
  <c r="J28" i="16"/>
  <c r="J37" i="16" s="1"/>
  <c r="J28" i="17"/>
  <c r="J37" i="17" s="1"/>
  <c r="J28" i="15"/>
  <c r="J37" i="15" s="1"/>
  <c r="M10" i="17"/>
  <c r="M11" i="17" s="1"/>
  <c r="M31" i="17" s="1"/>
  <c r="M10" i="15"/>
  <c r="M11" i="15" s="1"/>
  <c r="M31" i="15" s="1"/>
  <c r="M10" i="16"/>
  <c r="M11" i="16" s="1"/>
  <c r="M31" i="16" s="1"/>
  <c r="Q10" i="17"/>
  <c r="Q11" i="17" s="1"/>
  <c r="Q31" i="17" s="1"/>
  <c r="Q10" i="16"/>
  <c r="Q11" i="16" s="1"/>
  <c r="Q10" i="15"/>
  <c r="Q11" i="15" s="1"/>
  <c r="R28" i="13"/>
  <c r="R37" i="13" s="1"/>
  <c r="R38" i="13" s="1"/>
  <c r="K10" i="16"/>
  <c r="K11" i="16" s="1"/>
  <c r="K31" i="16" s="1"/>
  <c r="K10" i="17"/>
  <c r="K11" i="17" s="1"/>
  <c r="K31" i="17" s="1"/>
  <c r="K10" i="15"/>
  <c r="K11" i="15" s="1"/>
  <c r="K31" i="15" s="1"/>
  <c r="L10" i="16"/>
  <c r="L11" i="16" s="1"/>
  <c r="L31" i="16" s="1"/>
  <c r="L10" i="15"/>
  <c r="L11" i="15" s="1"/>
  <c r="L31" i="15" s="1"/>
  <c r="L10" i="17"/>
  <c r="L11" i="17" s="1"/>
  <c r="L31" i="17" s="1"/>
  <c r="AC28" i="13"/>
  <c r="S37" i="13" s="1"/>
  <c r="S38" i="13" s="1"/>
  <c r="U10" i="13"/>
  <c r="U11" i="13" s="1"/>
  <c r="T10" i="13"/>
  <c r="T11" i="13" s="1"/>
  <c r="S10" i="13"/>
  <c r="AD10" i="13" s="1"/>
  <c r="AD11" i="13" s="1"/>
  <c r="AE10" i="13"/>
  <c r="AE11" i="13" s="1"/>
  <c r="V11" i="13"/>
  <c r="AG10" i="13"/>
  <c r="AG11" i="13" s="1"/>
  <c r="AI10" i="13"/>
  <c r="AI11" i="13" s="1"/>
  <c r="X11" i="13"/>
  <c r="F6" i="10"/>
  <c r="H6" i="12"/>
  <c r="F5" i="10"/>
  <c r="H5" i="12"/>
  <c r="F7" i="10"/>
  <c r="H7" i="12"/>
  <c r="F16" i="2"/>
  <c r="J38" i="16" l="1"/>
  <c r="D6" i="18" s="1"/>
  <c r="D5" i="18"/>
  <c r="J38" i="17"/>
  <c r="C6" i="18" s="1"/>
  <c r="C5" i="18"/>
  <c r="J38" i="15"/>
  <c r="E6" i="18" s="1"/>
  <c r="E5" i="18"/>
  <c r="S11" i="13"/>
  <c r="AF10" i="13"/>
  <c r="AF11" i="13" s="1"/>
  <c r="J10" i="17"/>
  <c r="J11" i="17" s="1"/>
  <c r="J10" i="16"/>
  <c r="J11" i="16" s="1"/>
  <c r="J10" i="15"/>
  <c r="J11" i="15" s="1"/>
  <c r="R10" i="13"/>
  <c r="AC10" i="13" s="1"/>
  <c r="AC11" i="13" s="1"/>
  <c r="AC13" i="13" s="1"/>
  <c r="S35" i="13" s="1"/>
  <c r="F4" i="10"/>
  <c r="H4" i="12"/>
  <c r="R11" i="13" l="1"/>
  <c r="R13" i="13" s="1"/>
  <c r="R35" i="13" s="1"/>
  <c r="R36" i="13" s="1"/>
  <c r="J31" i="16"/>
  <c r="J13" i="16"/>
  <c r="J35" i="16" s="1"/>
  <c r="D3" i="18" s="1"/>
  <c r="J31" i="17"/>
  <c r="J13" i="17"/>
  <c r="J35" i="17" s="1"/>
  <c r="C3" i="18" s="1"/>
  <c r="J31" i="15"/>
  <c r="J13" i="15"/>
  <c r="J35" i="15" s="1"/>
  <c r="E3" i="18" s="1"/>
  <c r="B3" i="18"/>
  <c r="S39" i="13"/>
  <c r="S40" i="13" s="1"/>
  <c r="S36" i="13"/>
  <c r="R39" i="13" l="1"/>
  <c r="R40" i="13" s="1"/>
  <c r="R43" i="13" s="1"/>
  <c r="J39" i="17"/>
  <c r="J36" i="17"/>
  <c r="C4" i="18" s="1"/>
  <c r="J36" i="15"/>
  <c r="E4" i="18" s="1"/>
  <c r="J39" i="15"/>
  <c r="J39" i="16"/>
  <c r="J36" i="16"/>
  <c r="D4" i="18" s="1"/>
  <c r="B4" i="18"/>
  <c r="S43" i="13"/>
  <c r="B7" i="18" l="1"/>
  <c r="J40" i="17"/>
  <c r="C7" i="18"/>
  <c r="J40" i="16"/>
  <c r="D7" i="18"/>
  <c r="J40" i="15"/>
  <c r="E7" i="18"/>
  <c r="U40" i="13"/>
  <c r="U43" i="13" s="1"/>
  <c r="B11" i="18" l="1"/>
  <c r="B8" i="18"/>
  <c r="J43" i="17"/>
  <c r="C11" i="18" s="1"/>
  <c r="C8" i="18"/>
  <c r="J43" i="16"/>
  <c r="D11" i="18" s="1"/>
  <c r="D8" i="18"/>
  <c r="J43" i="15"/>
  <c r="E11" i="18" s="1"/>
  <c r="E8" i="1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tc={DCFC1721-B343-406F-AEC6-AF8C50E5A449}</author>
  </authors>
  <commentList>
    <comment ref="J1" authorId="0" shapeId="0" xr:uid="{00000000-0006-0000-0800-00000100000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annual cost of work days = annual lost days * average work hours per day * minimum wage per hour</t>
        </r>
      </text>
    </comment>
  </commentList>
</comments>
</file>

<file path=xl/sharedStrings.xml><?xml version="1.0" encoding="utf-8"?>
<sst xmlns="http://schemas.openxmlformats.org/spreadsheetml/2006/main" count="671" uniqueCount="162">
  <si>
    <t>COLORADO (N=18)</t>
  </si>
  <si>
    <t>WASHINGTON (N=57)</t>
  </si>
  <si>
    <t>Combined</t>
  </si>
  <si>
    <t>Colorado</t>
  </si>
  <si>
    <t>Washignton</t>
  </si>
  <si>
    <t>TYPE A DISEASES</t>
  </si>
  <si>
    <t>Disease Condition</t>
  </si>
  <si>
    <t>number of graduates practising ONB at entry</t>
  </si>
  <si>
    <t>number of graduates practising ONB at exit</t>
  </si>
  <si>
    <t>Difference</t>
  </si>
  <si>
    <t>percent of total achieving ONB at graduation</t>
  </si>
  <si>
    <t>Diff</t>
  </si>
  <si>
    <t>Colon Cancer</t>
  </si>
  <si>
    <t>Heart Disease</t>
  </si>
  <si>
    <t>Stroke</t>
  </si>
  <si>
    <t>Hypertention</t>
  </si>
  <si>
    <t>Osteoporosis</t>
  </si>
  <si>
    <t>Type 2 Diabeties</t>
  </si>
  <si>
    <t>Obesity</t>
  </si>
  <si>
    <t>Foodborne Illness</t>
  </si>
  <si>
    <t>Infant Diseases</t>
  </si>
  <si>
    <t>Colorectal Cancer</t>
  </si>
  <si>
    <t>annual number of graduates in EFNEP</t>
  </si>
  <si>
    <t>Heat disease</t>
  </si>
  <si>
    <t>Incidence rate of disease in the population</t>
  </si>
  <si>
    <t>stroke</t>
  </si>
  <si>
    <t>Incidence rate of disease cancer related to diet</t>
  </si>
  <si>
    <t>Percent of graduates practicing ONB related to disease</t>
  </si>
  <si>
    <t>TYPE B DISEASES</t>
  </si>
  <si>
    <t>Estimated number of graduates to accrue benefits</t>
  </si>
  <si>
    <t>Present value of benefit related to disease</t>
  </si>
  <si>
    <t>TOTAL DIRECT BENEFIT</t>
  </si>
  <si>
    <t>Type 2 dibeties</t>
  </si>
  <si>
    <t>SUM OF DIRECT BENEFITS</t>
  </si>
  <si>
    <t>Foodborne illness</t>
  </si>
  <si>
    <t>TYPE C DISEASES</t>
  </si>
  <si>
    <t xml:space="preserve">these were the graduates who had a change in behaviour at exit. ...................................In order for a given participant to be considered_x000D_
practicing ONB for a certain disease, the participant_x000D_
had to fail the qualifications at entry and pass them at_x000D_
exit. </t>
  </si>
  <si>
    <t>these were calculated as the percentage of the difference (number of graduates practicing ONB) divided by the total participants</t>
  </si>
  <si>
    <t xml:space="preserve">these were the graduates who had a change in behaviour at exit. .....................................In order for a given participant to be considered_x000D_
practicing ONB for a certain disease, the participant_x000D_
had to fail the qualifications at entry and pass them at_x000D_
exit. </t>
  </si>
  <si>
    <t>Present value of indirect benefit related to disease</t>
  </si>
  <si>
    <t>TOTAL INDIRECT BENEFIT</t>
  </si>
  <si>
    <t>SUM OF INDIRECT BENEFITS</t>
  </si>
  <si>
    <t>Annual number of graduates</t>
  </si>
  <si>
    <t>sum of direct benefits</t>
  </si>
  <si>
    <t>Direct benefit per graduate</t>
  </si>
  <si>
    <t>sum of indirect benefits</t>
  </si>
  <si>
    <t>indirect benefits per graduate</t>
  </si>
  <si>
    <t>total benefits</t>
  </si>
  <si>
    <t>total benefits per graduate</t>
  </si>
  <si>
    <t>costs</t>
  </si>
  <si>
    <t>costs per graduate</t>
  </si>
  <si>
    <t>benefit cost ratio</t>
  </si>
  <si>
    <t>ONB grads</t>
  </si>
  <si>
    <t>Incidence rate of ilness low-income population;</t>
  </si>
  <si>
    <t>Source</t>
  </si>
  <si>
    <t>the incidence of
the disease or condition that is related to diet</t>
  </si>
  <si>
    <t>PV of direct benefit</t>
  </si>
  <si>
    <t>PV of Indirect benefit</t>
  </si>
  <si>
    <t>8%(F)</t>
  </si>
  <si>
    <t>IOWA 2015</t>
  </si>
  <si>
    <t>Type B Diseases</t>
  </si>
  <si>
    <t>DOLAHITE</t>
  </si>
  <si>
    <t>Type C diseases</t>
  </si>
  <si>
    <t>These were from the CDC websites. where the figures were not found, I used estimates from Dollahite's cost-benefit analysis</t>
  </si>
  <si>
    <t>these figures are from the estimates provided in Dollahite's cost-benefit analysis of New York State EFNEP</t>
  </si>
  <si>
    <t>Calculations provided in the respective sheets in the workbook</t>
  </si>
  <si>
    <t>Difference (Colorado)</t>
  </si>
  <si>
    <t>percent of total achieving ONB conditions for each disease at graduation</t>
  </si>
  <si>
    <t>Total direct benefit</t>
  </si>
  <si>
    <t>Total Indirect benefit</t>
  </si>
  <si>
    <t>average age of participants</t>
  </si>
  <si>
    <t>Av. Age of onset</t>
  </si>
  <si>
    <t>Av. Years of survival</t>
  </si>
  <si>
    <t>No. of years onset delayed</t>
  </si>
  <si>
    <t>average lifespan</t>
  </si>
  <si>
    <t>Per patient cost adjusted to 2015 Dollars</t>
  </si>
  <si>
    <t xml:space="preserve">Average age of retirement </t>
  </si>
  <si>
    <t>Average number of annual lost work days</t>
  </si>
  <si>
    <t>Annual cost of lost work days</t>
  </si>
  <si>
    <t>Present value of lost earnings</t>
  </si>
  <si>
    <t>Heart disease</t>
  </si>
  <si>
    <t>Type 2 Diabetes</t>
  </si>
  <si>
    <t>Foodborne Illlness</t>
  </si>
  <si>
    <t>Low Birthweight</t>
  </si>
  <si>
    <t>2015 figures adjusted to 2019 figures.  This was done by multiplying 2015 figures with $1.078687 thus (CPI 2019/CPI2015)</t>
  </si>
  <si>
    <t xml:space="preserve">(CPI 2019/CPI2015) = </t>
  </si>
  <si>
    <t xml:space="preserve"> </t>
  </si>
  <si>
    <t xml:space="preserve">Present Value of Colorectal Cancer Direct Benefits </t>
  </si>
  <si>
    <t xml:space="preserve">Present Value of Colorectal Cancer Indirect Benefits </t>
  </si>
  <si>
    <t>Tangible Benefit</t>
  </si>
  <si>
    <t>Present value of Colorectal Cancer treatment cost if incured at age of onset</t>
  </si>
  <si>
    <t>Present value of Colorectal Cancer treatment cost if delayed for 5 years</t>
  </si>
  <si>
    <t>Present value of earnings from Colorectal Cancer if incured at average age of onset</t>
  </si>
  <si>
    <t>Present value of earnings from Colorectal Cancer if idelayed for 5 years</t>
  </si>
  <si>
    <t>Age</t>
  </si>
  <si>
    <t>year</t>
  </si>
  <si>
    <t>PV</t>
  </si>
  <si>
    <t>37-49</t>
  </si>
  <si>
    <t>37-54</t>
  </si>
  <si>
    <t>Total PV</t>
  </si>
  <si>
    <t>PV Tangible Inirect Benefit</t>
  </si>
  <si>
    <t>PV Tangible Direct Benefit</t>
  </si>
  <si>
    <t xml:space="preserve">Present Value of Heart Disease Direct Tangible Benefits </t>
  </si>
  <si>
    <t xml:space="preserve">Present Value of heart disease Indirect Benefits </t>
  </si>
  <si>
    <t>Present value of Heart disease treatment cost  if incured at age of onset</t>
  </si>
  <si>
    <t>Present value of Heart disease treatment cost if delayed for 5 years</t>
  </si>
  <si>
    <t>Present value of lost earnings from heart disease if incured at average age of onset</t>
  </si>
  <si>
    <t>Present value of lost earnings from heart disease if idelayed for 5 years</t>
  </si>
  <si>
    <t>37-59</t>
  </si>
  <si>
    <t>PV Tangible  Total Indirect</t>
  </si>
  <si>
    <t xml:space="preserve">Present Value of Stroke Direct Tangible Benefits </t>
  </si>
  <si>
    <t>Column2</t>
  </si>
  <si>
    <t>Column3</t>
  </si>
  <si>
    <t xml:space="preserve">Present Value of stroke Indirect Benefits </t>
  </si>
  <si>
    <t>Present value of Stroke treatment cost if incured at age of onset</t>
  </si>
  <si>
    <r>
      <t>Present value of stroke treatment cost if delayed for</t>
    </r>
    <r>
      <rPr>
        <b/>
        <u/>
        <sz val="11"/>
        <color theme="1"/>
        <rFont val="Calibri (Body)"/>
      </rPr>
      <t xml:space="preserve"> 10 </t>
    </r>
    <r>
      <rPr>
        <b/>
        <sz val="11"/>
        <color theme="1"/>
        <rFont val="Calibri"/>
        <family val="2"/>
        <scheme val="minor"/>
      </rPr>
      <t>years</t>
    </r>
  </si>
  <si>
    <t>Present value of lost earnings from stroke if incured at average age of onset</t>
  </si>
  <si>
    <t>Present value of lost earnings from stroke if idelayed for 5 years</t>
  </si>
  <si>
    <t>37-44</t>
  </si>
  <si>
    <t>Total</t>
  </si>
  <si>
    <t>PV Tangible Indirect benefit</t>
  </si>
  <si>
    <t xml:space="preserve">Present Value of Hypertension Direct Benefits </t>
  </si>
  <si>
    <t xml:space="preserve">Present Value of Hypertension Indirect Benefits </t>
  </si>
  <si>
    <t>Present value of Hypertension treatment costs if incured at age of onset</t>
  </si>
  <si>
    <t>Present value of Hypertension treatment costs if delayed for 5 years</t>
  </si>
  <si>
    <t>Present value of lost earnings from Hypertension if incured at average age of onset</t>
  </si>
  <si>
    <t>Present value of lost earnings from Hypertension if idelayed for 5 years</t>
  </si>
  <si>
    <t>37-41</t>
  </si>
  <si>
    <t>37-46</t>
  </si>
  <si>
    <t>PV Tangible Indirect Benefit</t>
  </si>
  <si>
    <t xml:space="preserve">Present Value of Osteoporosis Direct Benefits </t>
  </si>
  <si>
    <t xml:space="preserve">Present Value of Osteoporosis Indirect Benefits </t>
  </si>
  <si>
    <t>Tangible Indirect Benefit</t>
  </si>
  <si>
    <t>Present value of osteoporosis treatment costs if incured at age of onset</t>
  </si>
  <si>
    <t>Present value of lost earnings for Osteoporosis until retirement</t>
  </si>
  <si>
    <t>Total Indirect</t>
  </si>
  <si>
    <t>Total di PV</t>
  </si>
  <si>
    <t xml:space="preserve">Present Value of Type 2 Diabeties Direct Benefits </t>
  </si>
  <si>
    <t xml:space="preserve">Present Value of Type 2 Diabeties Indirect Benefits </t>
  </si>
  <si>
    <t xml:space="preserve">Present value of Type 2 Diabeties treatment costs if avoided for the rest of lifetime. </t>
  </si>
  <si>
    <t>Present value of lost earnings for Type 2 Diabeties until retirement</t>
  </si>
  <si>
    <t>37-53</t>
  </si>
  <si>
    <t>Total indirect</t>
  </si>
  <si>
    <t xml:space="preserve">Present Value of obesity direct Benefits </t>
  </si>
  <si>
    <t xml:space="preserve">Present Value of Obesity Indirect Benefits </t>
  </si>
  <si>
    <t>Present value of Obesity treatment costs if avoided until death</t>
  </si>
  <si>
    <t>Present value of lost earnings for Obesity until retirement</t>
  </si>
  <si>
    <t>37-39</t>
  </si>
  <si>
    <t xml:space="preserve">Should be 37-39	</t>
  </si>
  <si>
    <t>Should be 37-39</t>
  </si>
  <si>
    <t>Total PV Indirect benefit</t>
  </si>
  <si>
    <t xml:space="preserve">Present Value of foodborne illness direct Benefits </t>
  </si>
  <si>
    <t xml:space="preserve">Present Value of Foodborne illness Indirect Benefits </t>
  </si>
  <si>
    <t>Present value of foodborne illness if avoided until death</t>
  </si>
  <si>
    <t>Present value of lost earnings for  Foodborne illness until retirement</t>
  </si>
  <si>
    <t>treatment costs are incurred on a one-time basis (when the child is born). The direct benefit is based on avoiding the treatment costs associated with a LBW infant. This benefit is the present value of the treatment costs avoided.</t>
  </si>
  <si>
    <t>risk of disease as an increaase in biomarker</t>
  </si>
  <si>
    <t>Percent of graduates with improvement in biomarker</t>
  </si>
  <si>
    <t>Standard</t>
  </si>
  <si>
    <t>pre-post</t>
  </si>
  <si>
    <t>pre-6month</t>
  </si>
  <si>
    <t>pre-1yr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</si>
</sst>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8" formatCode="&quot;$&quot;#,##0.00_);[Red]\(&quot;$&quot;#,##0.00\)"/>
    <numFmt numFmtId="44" formatCode="_(&quot;$&quot;* #,##0.00_);_(&quot;$&quot;* \(#,##0.00\);_(&quot;$&quot;* &quot;-&quot;??_);_(@_)"/>
    <numFmt numFmtId="164" formatCode="&quot;$&quot;#,##0.00"/>
    <numFmt numFmtId="165" formatCode="&quot;$&quot;#,##0"/>
    <numFmt numFmtId="166" formatCode="0.0%"/>
    <numFmt numFmtId="167" formatCode="&quot;$&quot;#,##0.000000"/>
  </numFmts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 (Body)"/>
    </font>
    <font>
      <sz val="8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11"/>
      <color theme="1"/>
      <name val="Calibri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70C0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rgb="FF44546A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20376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</fills>
  <borders count="51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030A0"/>
      </left>
      <right/>
      <top style="thin">
        <color rgb="FF7030A0"/>
      </top>
      <bottom/>
      <diagonal/>
    </border>
    <border>
      <left/>
      <right/>
      <top style="thin">
        <color rgb="FF7030A0"/>
      </top>
      <bottom/>
      <diagonal/>
    </border>
    <border>
      <left/>
      <right style="thin">
        <color rgb="FF7030A0"/>
      </right>
      <top style="thin">
        <color rgb="FF7030A0"/>
      </top>
      <bottom/>
      <diagonal/>
    </border>
    <border>
      <left style="thin">
        <color rgb="FF7030A0"/>
      </left>
      <right/>
      <top/>
      <bottom/>
      <diagonal/>
    </border>
    <border>
      <left/>
      <right style="thin">
        <color rgb="FF7030A0"/>
      </right>
      <top/>
      <bottom/>
      <diagonal/>
    </border>
    <border>
      <left style="thin">
        <color rgb="FF7030A0"/>
      </left>
      <right/>
      <top/>
      <bottom style="thin">
        <color rgb="FF7030A0"/>
      </bottom>
      <diagonal/>
    </border>
    <border>
      <left/>
      <right/>
      <top/>
      <bottom style="thin">
        <color rgb="FF7030A0"/>
      </bottom>
      <diagonal/>
    </border>
    <border>
      <left/>
      <right style="thin">
        <color rgb="FF7030A0"/>
      </right>
      <top/>
      <bottom style="thin">
        <color rgb="FF7030A0"/>
      </bottom>
      <diagonal/>
    </border>
    <border>
      <left style="thin">
        <color rgb="FF7030A0"/>
      </left>
      <right/>
      <top style="thin">
        <color rgb="FF7030A0"/>
      </top>
      <bottom style="thin">
        <color rgb="FF7030A0"/>
      </bottom>
      <diagonal/>
    </border>
    <border>
      <left/>
      <right/>
      <top style="thin">
        <color rgb="FF7030A0"/>
      </top>
      <bottom style="thin">
        <color rgb="FF7030A0"/>
      </bottom>
      <diagonal/>
    </border>
    <border>
      <left style="thin">
        <color rgb="FF7030A0"/>
      </left>
      <right style="thin">
        <color rgb="FF7030A0"/>
      </right>
      <top/>
      <bottom style="thin">
        <color rgb="FF7030A0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rgb="FF7030A0"/>
      </left>
      <right style="thin">
        <color rgb="FF7030A0"/>
      </right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rgb="FF7030A0"/>
      </right>
      <top style="thin">
        <color indexed="64"/>
      </top>
      <bottom style="thin">
        <color indexed="64"/>
      </bottom>
      <diagonal/>
    </border>
    <border>
      <left style="thin">
        <color rgb="FF7030A0"/>
      </left>
      <right style="thin">
        <color rgb="FF7030A0"/>
      </right>
      <top style="thin">
        <color indexed="64"/>
      </top>
      <bottom style="thin">
        <color indexed="64"/>
      </bottom>
      <diagonal/>
    </border>
    <border>
      <left style="thin">
        <color rgb="FF7030A0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rgb="FF7030A0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3">
    <xf numFmtId="0" fontId="0" fillId="0" borderId="0"/>
    <xf numFmtId="44" fontId="5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330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 vertical="center"/>
    </xf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0" fillId="0" borderId="0" xfId="0" applyAlignment="1"/>
    <xf numFmtId="0" fontId="1" fillId="3" borderId="0" xfId="0" applyFont="1" applyFill="1" applyBorder="1" applyAlignment="1">
      <alignment wrapText="1"/>
    </xf>
    <xf numFmtId="0" fontId="1" fillId="3" borderId="0" xfId="0" applyFont="1" applyFill="1" applyBorder="1"/>
    <xf numFmtId="0" fontId="1" fillId="0" borderId="14" xfId="0" applyFont="1" applyBorder="1" applyAlignment="1">
      <alignment horizontal="center"/>
    </xf>
    <xf numFmtId="0" fontId="0" fillId="0" borderId="14" xfId="0" applyFont="1" applyBorder="1"/>
    <xf numFmtId="164" fontId="0" fillId="0" borderId="14" xfId="0" applyNumberFormat="1" applyFont="1" applyBorder="1"/>
    <xf numFmtId="0" fontId="0" fillId="2" borderId="14" xfId="0" applyFont="1" applyFill="1" applyBorder="1"/>
    <xf numFmtId="164" fontId="0" fillId="2" borderId="14" xfId="0" applyNumberFormat="1" applyFont="1" applyFill="1" applyBorder="1"/>
    <xf numFmtId="0" fontId="0" fillId="2" borderId="14" xfId="0" applyFont="1" applyFill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0" xfId="0" applyFont="1" applyBorder="1"/>
    <xf numFmtId="164" fontId="0" fillId="0" borderId="0" xfId="0" applyNumberFormat="1" applyFont="1" applyBorder="1"/>
    <xf numFmtId="0" fontId="1" fillId="0" borderId="14" xfId="0" applyFont="1" applyBorder="1"/>
    <xf numFmtId="164" fontId="1" fillId="0" borderId="14" xfId="0" applyNumberFormat="1" applyFont="1" applyBorder="1"/>
    <xf numFmtId="0" fontId="0" fillId="0" borderId="15" xfId="0" applyFont="1" applyBorder="1"/>
    <xf numFmtId="164" fontId="0" fillId="0" borderId="15" xfId="0" applyNumberFormat="1" applyFont="1" applyBorder="1"/>
    <xf numFmtId="0" fontId="0" fillId="0" borderId="0" xfId="0" applyFont="1" applyFill="1" applyBorder="1"/>
    <xf numFmtId="0" fontId="0" fillId="0" borderId="0" xfId="0" applyFill="1" applyBorder="1"/>
    <xf numFmtId="0" fontId="1" fillId="0" borderId="0" xfId="0" applyFont="1" applyFill="1" applyBorder="1"/>
    <xf numFmtId="0" fontId="0" fillId="0" borderId="0" xfId="0" applyBorder="1"/>
    <xf numFmtId="0" fontId="1" fillId="0" borderId="0" xfId="0" applyFont="1" applyFill="1" applyBorder="1" applyAlignment="1"/>
    <xf numFmtId="0" fontId="1" fillId="0" borderId="0" xfId="0" applyFont="1" applyBorder="1"/>
    <xf numFmtId="0" fontId="1" fillId="0" borderId="0" xfId="0" applyFont="1" applyFill="1" applyBorder="1" applyAlignment="1">
      <alignment wrapText="1"/>
    </xf>
    <xf numFmtId="164" fontId="0" fillId="0" borderId="0" xfId="0" applyNumberFormat="1" applyFont="1" applyFill="1" applyBorder="1"/>
    <xf numFmtId="0" fontId="0" fillId="0" borderId="0" xfId="0" applyFont="1" applyFill="1" applyBorder="1" applyAlignment="1">
      <alignment horizontal="center" vertical="center"/>
    </xf>
    <xf numFmtId="164" fontId="1" fillId="0" borderId="0" xfId="0" applyNumberFormat="1" applyFont="1" applyFill="1" applyBorder="1"/>
    <xf numFmtId="0" fontId="1" fillId="0" borderId="13" xfId="0" applyFont="1" applyFill="1" applyBorder="1" applyAlignment="1">
      <alignment horizontal="center" wrapText="1"/>
    </xf>
    <xf numFmtId="0" fontId="2" fillId="4" borderId="0" xfId="0" applyFont="1" applyFill="1" applyBorder="1"/>
    <xf numFmtId="164" fontId="2" fillId="4" borderId="0" xfId="0" applyNumberFormat="1" applyFont="1" applyFill="1" applyBorder="1"/>
    <xf numFmtId="0" fontId="0" fillId="4" borderId="0" xfId="0" applyFont="1" applyFill="1" applyBorder="1"/>
    <xf numFmtId="164" fontId="0" fillId="4" borderId="0" xfId="0" applyNumberFormat="1" applyFont="1" applyFill="1" applyBorder="1"/>
    <xf numFmtId="0" fontId="3" fillId="0" borderId="2" xfId="0" applyFont="1" applyFill="1" applyBorder="1" applyAlignment="1">
      <alignment horizontal="center" wrapText="1"/>
    </xf>
    <xf numFmtId="0" fontId="3" fillId="0" borderId="0" xfId="0" applyFont="1" applyFill="1" applyBorder="1" applyAlignment="1">
      <alignment horizontal="center" wrapText="1"/>
    </xf>
    <xf numFmtId="165" fontId="3" fillId="0" borderId="2" xfId="0" applyNumberFormat="1" applyFont="1" applyFill="1" applyBorder="1" applyAlignment="1">
      <alignment horizontal="center" wrapText="1"/>
    </xf>
    <xf numFmtId="0" fontId="4" fillId="5" borderId="17" xfId="0" applyFont="1" applyFill="1" applyBorder="1"/>
    <xf numFmtId="0" fontId="4" fillId="5" borderId="18" xfId="0" applyFont="1" applyFill="1" applyBorder="1"/>
    <xf numFmtId="0" fontId="1" fillId="3" borderId="22" xfId="0" applyFont="1" applyFill="1" applyBorder="1" applyAlignment="1">
      <alignment wrapText="1"/>
    </xf>
    <xf numFmtId="0" fontId="1" fillId="3" borderId="22" xfId="0" applyFont="1" applyFill="1" applyBorder="1"/>
    <xf numFmtId="164" fontId="4" fillId="5" borderId="1" xfId="0" applyNumberFormat="1" applyFont="1" applyFill="1" applyBorder="1"/>
    <xf numFmtId="0" fontId="3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165" fontId="0" fillId="0" borderId="0" xfId="0" applyNumberFormat="1" applyBorder="1" applyAlignment="1">
      <alignment horizontal="center"/>
    </xf>
    <xf numFmtId="8" fontId="0" fillId="0" borderId="2" xfId="0" applyNumberFormat="1" applyBorder="1" applyAlignment="1">
      <alignment horizontal="center"/>
    </xf>
    <xf numFmtId="0" fontId="3" fillId="0" borderId="2" xfId="0" applyFont="1" applyFill="1" applyBorder="1" applyAlignment="1">
      <alignment horizontal="center" vertical="center" wrapText="1"/>
    </xf>
    <xf numFmtId="164" fontId="1" fillId="0" borderId="26" xfId="0" applyNumberFormat="1" applyFont="1" applyBorder="1"/>
    <xf numFmtId="0" fontId="3" fillId="0" borderId="2" xfId="0" applyNumberFormat="1" applyFont="1" applyFill="1" applyBorder="1" applyAlignment="1">
      <alignment horizontal="center" wrapText="1"/>
    </xf>
    <xf numFmtId="0" fontId="0" fillId="0" borderId="2" xfId="0" applyNumberFormat="1" applyFont="1" applyFill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8" fontId="0" fillId="0" borderId="0" xfId="0" applyNumberFormat="1"/>
    <xf numFmtId="8" fontId="1" fillId="0" borderId="0" xfId="0" applyNumberFormat="1" applyFont="1"/>
    <xf numFmtId="0" fontId="0" fillId="2" borderId="18" xfId="0" applyFont="1" applyFill="1" applyBorder="1"/>
    <xf numFmtId="0" fontId="0" fillId="0" borderId="18" xfId="0" applyFont="1" applyBorder="1"/>
    <xf numFmtId="0" fontId="0" fillId="0" borderId="14" xfId="0" applyFont="1" applyBorder="1" applyAlignment="1"/>
    <xf numFmtId="0" fontId="0" fillId="0" borderId="0" xfId="0" applyFont="1" applyAlignment="1"/>
    <xf numFmtId="0" fontId="0" fillId="2" borderId="17" xfId="0" applyFont="1" applyFill="1" applyBorder="1" applyAlignment="1">
      <alignment horizontal="center" vertical="center"/>
    </xf>
    <xf numFmtId="164" fontId="0" fillId="2" borderId="1" xfId="0" applyNumberFormat="1" applyFont="1" applyFill="1" applyBorder="1"/>
    <xf numFmtId="0" fontId="0" fillId="0" borderId="17" xfId="0" applyFont="1" applyBorder="1" applyAlignment="1">
      <alignment horizontal="center" vertical="center"/>
    </xf>
    <xf numFmtId="164" fontId="0" fillId="0" borderId="1" xfId="0" applyNumberFormat="1" applyFont="1" applyBorder="1"/>
    <xf numFmtId="0" fontId="3" fillId="4" borderId="27" xfId="0" applyFont="1" applyFill="1" applyBorder="1"/>
    <xf numFmtId="0" fontId="3" fillId="4" borderId="15" xfId="0" applyFont="1" applyFill="1" applyBorder="1"/>
    <xf numFmtId="164" fontId="3" fillId="4" borderId="28" xfId="0" applyNumberFormat="1" applyFont="1" applyFill="1" applyBorder="1"/>
    <xf numFmtId="0" fontId="0" fillId="2" borderId="18" xfId="0" applyFont="1" applyFill="1" applyBorder="1" applyAlignment="1"/>
    <xf numFmtId="0" fontId="0" fillId="0" borderId="18" xfId="0" applyFont="1" applyBorder="1" applyAlignment="1"/>
    <xf numFmtId="0" fontId="1" fillId="0" borderId="0" xfId="0" applyFont="1" applyAlignment="1">
      <alignment vertical="center" wrapText="1"/>
    </xf>
    <xf numFmtId="0" fontId="3" fillId="0" borderId="0" xfId="0" applyFont="1" applyFill="1" applyBorder="1" applyAlignment="1">
      <alignment horizontal="center" vertical="center" wrapText="1"/>
    </xf>
    <xf numFmtId="44" fontId="0" fillId="0" borderId="0" xfId="1" applyFont="1"/>
    <xf numFmtId="44" fontId="1" fillId="0" borderId="0" xfId="1" applyFont="1" applyAlignment="1">
      <alignment vertical="center" wrapText="1"/>
    </xf>
    <xf numFmtId="44" fontId="0" fillId="0" borderId="2" xfId="0" applyNumberFormat="1" applyBorder="1" applyAlignment="1">
      <alignment horizontal="center"/>
    </xf>
    <xf numFmtId="44" fontId="1" fillId="0" borderId="24" xfId="1" applyFont="1" applyBorder="1" applyAlignment="1">
      <alignment horizontal="center"/>
    </xf>
    <xf numFmtId="0" fontId="1" fillId="0" borderId="4" xfId="0" applyFont="1" applyFill="1" applyBorder="1" applyAlignment="1"/>
    <xf numFmtId="0" fontId="0" fillId="0" borderId="0" xfId="0" applyFill="1"/>
    <xf numFmtId="0" fontId="1" fillId="0" borderId="9" xfId="0" applyFont="1" applyFill="1" applyBorder="1" applyAlignment="1"/>
    <xf numFmtId="0" fontId="1" fillId="0" borderId="0" xfId="0" applyFont="1" applyFill="1"/>
    <xf numFmtId="0" fontId="0" fillId="6" borderId="0" xfId="0" applyFill="1"/>
    <xf numFmtId="0" fontId="0" fillId="0" borderId="2" xfId="0" applyFill="1" applyBorder="1" applyAlignment="1">
      <alignment horizontal="center"/>
    </xf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wrapText="1"/>
    </xf>
    <xf numFmtId="0" fontId="0" fillId="0" borderId="0" xfId="0" applyBorder="1" applyAlignment="1">
      <alignment wrapText="1"/>
    </xf>
    <xf numFmtId="164" fontId="0" fillId="0" borderId="0" xfId="0" applyNumberFormat="1" applyFill="1"/>
    <xf numFmtId="0" fontId="0" fillId="0" borderId="0" xfId="0" quotePrefix="1" applyFill="1"/>
    <xf numFmtId="0" fontId="0" fillId="0" borderId="0" xfId="0" applyFont="1" applyBorder="1" applyAlignment="1"/>
    <xf numFmtId="0" fontId="1" fillId="0" borderId="0" xfId="0" applyFont="1" applyBorder="1" applyAlignment="1"/>
    <xf numFmtId="0" fontId="4" fillId="4" borderId="27" xfId="0" applyFont="1" applyFill="1" applyBorder="1"/>
    <xf numFmtId="0" fontId="4" fillId="4" borderId="15" xfId="0" applyFont="1" applyFill="1" applyBorder="1"/>
    <xf numFmtId="164" fontId="4" fillId="4" borderId="28" xfId="0" applyNumberFormat="1" applyFont="1" applyFill="1" applyBorder="1"/>
    <xf numFmtId="0" fontId="0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10" fontId="0" fillId="0" borderId="0" xfId="2" applyNumberFormat="1" applyFont="1" applyAlignment="1">
      <alignment horizontal="center" vertical="center"/>
    </xf>
    <xf numFmtId="10" fontId="1" fillId="0" borderId="0" xfId="2" applyNumberFormat="1" applyFont="1" applyAlignment="1">
      <alignment horizontal="center" vertical="center" wrapText="1"/>
    </xf>
    <xf numFmtId="166" fontId="3" fillId="0" borderId="0" xfId="0" applyNumberFormat="1" applyFont="1" applyFill="1" applyBorder="1" applyAlignment="1">
      <alignment horizontal="center" vertical="center" wrapText="1"/>
    </xf>
    <xf numFmtId="166" fontId="0" fillId="0" borderId="0" xfId="0" applyNumberFormat="1" applyFont="1" applyFill="1" applyBorder="1" applyAlignment="1">
      <alignment horizontal="center"/>
    </xf>
    <xf numFmtId="166" fontId="0" fillId="0" borderId="0" xfId="0" applyNumberFormat="1"/>
    <xf numFmtId="9" fontId="3" fillId="0" borderId="0" xfId="0" applyNumberFormat="1" applyFont="1" applyFill="1" applyBorder="1" applyAlignment="1">
      <alignment horizontal="center" vertical="center" wrapText="1"/>
    </xf>
    <xf numFmtId="9" fontId="0" fillId="0" borderId="0" xfId="0" applyNumberFormat="1" applyFont="1" applyFill="1" applyBorder="1" applyAlignment="1">
      <alignment horizontal="center"/>
    </xf>
    <xf numFmtId="9" fontId="0" fillId="0" borderId="0" xfId="0" applyNumberFormat="1"/>
    <xf numFmtId="0" fontId="0" fillId="0" borderId="0" xfId="0" applyAlignment="1">
      <alignment horizontal="center" vertical="center"/>
    </xf>
    <xf numFmtId="0" fontId="0" fillId="7" borderId="0" xfId="0" applyFill="1"/>
    <xf numFmtId="0" fontId="0" fillId="0" borderId="0" xfId="0" applyFill="1" applyAlignment="1">
      <alignment horizontal="center" vertical="center"/>
    </xf>
    <xf numFmtId="165" fontId="0" fillId="0" borderId="2" xfId="0" applyNumberFormat="1" applyFont="1" applyFill="1" applyBorder="1" applyAlignment="1">
      <alignment horizontal="center"/>
    </xf>
    <xf numFmtId="167" fontId="0" fillId="0" borderId="0" xfId="0" applyNumberFormat="1" applyBorder="1" applyAlignment="1">
      <alignment horizontal="center"/>
    </xf>
    <xf numFmtId="0" fontId="0" fillId="0" borderId="0" xfId="0" applyNumberFormat="1" applyFill="1"/>
    <xf numFmtId="0" fontId="0" fillId="0" borderId="0" xfId="0" applyNumberFormat="1" applyFont="1" applyFill="1" applyBorder="1" applyAlignment="1">
      <alignment horizontal="center"/>
    </xf>
    <xf numFmtId="0" fontId="0" fillId="0" borderId="0" xfId="0" applyNumberFormat="1" applyAlignment="1">
      <alignment horizontal="center" vertical="center"/>
    </xf>
    <xf numFmtId="0" fontId="0" fillId="0" borderId="0" xfId="2" applyNumberFormat="1" applyFont="1" applyAlignment="1">
      <alignment horizontal="center" vertical="center"/>
    </xf>
    <xf numFmtId="0" fontId="0" fillId="0" borderId="0" xfId="0" applyNumberFormat="1"/>
    <xf numFmtId="0" fontId="0" fillId="0" borderId="0" xfId="0" applyNumberFormat="1" applyFont="1" applyFill="1" applyBorder="1" applyAlignment="1">
      <alignment horizontal="center" wrapText="1"/>
    </xf>
    <xf numFmtId="0" fontId="0" fillId="7" borderId="0" xfId="0" applyNumberFormat="1" applyFill="1"/>
    <xf numFmtId="0" fontId="0" fillId="0" borderId="0" xfId="0" applyNumberFormat="1" applyAlignment="1">
      <alignment wrapText="1"/>
    </xf>
    <xf numFmtId="0" fontId="3" fillId="9" borderId="2" xfId="0" applyNumberFormat="1" applyFont="1" applyFill="1" applyBorder="1" applyAlignment="1">
      <alignment horizontal="center" vertical="center" wrapText="1"/>
    </xf>
    <xf numFmtId="0" fontId="3" fillId="8" borderId="2" xfId="0" applyNumberFormat="1" applyFont="1" applyFill="1" applyBorder="1" applyAlignment="1">
      <alignment horizontal="center" vertical="center" wrapText="1"/>
    </xf>
    <xf numFmtId="0" fontId="1" fillId="8" borderId="2" xfId="0" applyNumberFormat="1" applyFont="1" applyFill="1" applyBorder="1" applyAlignment="1">
      <alignment horizontal="center" vertical="center" wrapText="1"/>
    </xf>
    <xf numFmtId="0" fontId="1" fillId="8" borderId="2" xfId="2" applyNumberFormat="1" applyFont="1" applyFill="1" applyBorder="1" applyAlignment="1">
      <alignment horizontal="center" vertical="center" wrapText="1"/>
    </xf>
    <xf numFmtId="0" fontId="2" fillId="9" borderId="2" xfId="0" applyNumberFormat="1" applyFont="1" applyFill="1" applyBorder="1" applyAlignment="1">
      <alignment horizontal="center" vertical="center" wrapText="1"/>
    </xf>
    <xf numFmtId="0" fontId="0" fillId="0" borderId="2" xfId="0" applyNumberFormat="1" applyFont="1" applyFill="1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0" fontId="0" fillId="0" borderId="2" xfId="2" applyNumberFormat="1" applyFont="1" applyBorder="1" applyAlignment="1">
      <alignment horizontal="center" vertical="center"/>
    </xf>
    <xf numFmtId="166" fontId="0" fillId="0" borderId="2" xfId="0" applyNumberFormat="1" applyFont="1" applyFill="1" applyBorder="1" applyAlignment="1">
      <alignment horizontal="center" vertical="center"/>
    </xf>
    <xf numFmtId="9" fontId="0" fillId="0" borderId="2" xfId="0" applyNumberFormat="1" applyFont="1" applyFill="1" applyBorder="1" applyAlignment="1">
      <alignment horizontal="center" vertical="center"/>
    </xf>
    <xf numFmtId="10" fontId="0" fillId="0" borderId="2" xfId="2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10" fontId="1" fillId="0" borderId="2" xfId="2" applyNumberFormat="1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/>
    </xf>
    <xf numFmtId="10" fontId="5" fillId="0" borderId="2" xfId="2" applyNumberFormat="1" applyFont="1" applyBorder="1" applyAlignment="1">
      <alignment horizontal="center" vertical="center"/>
    </xf>
    <xf numFmtId="0" fontId="0" fillId="7" borderId="0" xfId="0" applyFont="1" applyFill="1"/>
    <xf numFmtId="0" fontId="0" fillId="0" borderId="0" xfId="0" applyFont="1"/>
    <xf numFmtId="0" fontId="1" fillId="0" borderId="2" xfId="0" applyNumberFormat="1" applyFont="1" applyFill="1" applyBorder="1" applyAlignment="1">
      <alignment horizontal="center" wrapText="1"/>
    </xf>
    <xf numFmtId="166" fontId="3" fillId="0" borderId="2" xfId="0" applyNumberFormat="1" applyFont="1" applyFill="1" applyBorder="1" applyAlignment="1">
      <alignment horizontal="center" vertical="center" wrapText="1"/>
    </xf>
    <xf numFmtId="9" fontId="3" fillId="0" borderId="2" xfId="0" applyNumberFormat="1" applyFont="1" applyFill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44" fontId="1" fillId="0" borderId="2" xfId="1" applyFont="1" applyBorder="1" applyAlignment="1">
      <alignment vertical="center" wrapText="1"/>
    </xf>
    <xf numFmtId="166" fontId="0" fillId="0" borderId="2" xfId="0" applyNumberFormat="1" applyFont="1" applyFill="1" applyBorder="1" applyAlignment="1">
      <alignment horizontal="center"/>
    </xf>
    <xf numFmtId="9" fontId="0" fillId="0" borderId="2" xfId="0" applyNumberFormat="1" applyFont="1" applyFill="1" applyBorder="1" applyAlignment="1">
      <alignment horizontal="center"/>
    </xf>
    <xf numFmtId="44" fontId="0" fillId="0" borderId="2" xfId="1" applyFont="1" applyBorder="1"/>
    <xf numFmtId="10" fontId="0" fillId="0" borderId="0" xfId="2" applyNumberFormat="1" applyFont="1" applyFill="1" applyAlignment="1">
      <alignment horizontal="center" vertical="center"/>
    </xf>
    <xf numFmtId="0" fontId="0" fillId="0" borderId="0" xfId="0" applyNumberFormat="1" applyFill="1" applyAlignment="1">
      <alignment wrapText="1"/>
    </xf>
    <xf numFmtId="0" fontId="1" fillId="11" borderId="0" xfId="0" applyFont="1" applyFill="1"/>
    <xf numFmtId="166" fontId="0" fillId="10" borderId="29" xfId="0" applyNumberFormat="1" applyFont="1" applyFill="1" applyBorder="1" applyAlignment="1">
      <alignment horizontal="center" vertical="top" wrapText="1"/>
    </xf>
    <xf numFmtId="166" fontId="0" fillId="10" borderId="0" xfId="0" applyNumberFormat="1" applyFont="1" applyFill="1" applyBorder="1" applyAlignment="1">
      <alignment horizontal="center" vertical="top" wrapText="1"/>
    </xf>
    <xf numFmtId="166" fontId="0" fillId="6" borderId="46" xfId="0" applyNumberFormat="1" applyFill="1" applyBorder="1" applyAlignment="1">
      <alignment horizontal="center" vertical="top" wrapText="1"/>
    </xf>
    <xf numFmtId="166" fontId="0" fillId="6" borderId="47" xfId="0" applyNumberFormat="1" applyFill="1" applyBorder="1" applyAlignment="1">
      <alignment horizontal="center" vertical="top" wrapText="1"/>
    </xf>
    <xf numFmtId="166" fontId="0" fillId="6" borderId="48" xfId="0" applyNumberFormat="1" applyFill="1" applyBorder="1" applyAlignment="1">
      <alignment horizontal="center" vertical="top" wrapText="1"/>
    </xf>
    <xf numFmtId="0" fontId="0" fillId="0" borderId="2" xfId="0" applyNumberFormat="1" applyFill="1" applyBorder="1" applyAlignment="1">
      <alignment horizontal="center" vertical="center"/>
    </xf>
    <xf numFmtId="10" fontId="0" fillId="0" borderId="2" xfId="0" applyNumberFormat="1" applyBorder="1" applyAlignment="1">
      <alignment horizontal="center" vertical="center"/>
    </xf>
    <xf numFmtId="44" fontId="0" fillId="0" borderId="2" xfId="1" applyFont="1" applyBorder="1" applyAlignment="1">
      <alignment horizontal="center" vertical="center"/>
    </xf>
    <xf numFmtId="44" fontId="1" fillId="0" borderId="2" xfId="1" applyFont="1" applyBorder="1" applyAlignment="1">
      <alignment horizontal="center" vertical="center"/>
    </xf>
    <xf numFmtId="0" fontId="0" fillId="0" borderId="2" xfId="0" applyBorder="1" applyAlignment="1">
      <alignment horizontal="center" vertical="top"/>
    </xf>
    <xf numFmtId="166" fontId="0" fillId="0" borderId="2" xfId="0" applyNumberFormat="1" applyBorder="1" applyAlignment="1">
      <alignment horizontal="center" vertical="top"/>
    </xf>
    <xf numFmtId="10" fontId="0" fillId="0" borderId="2" xfId="0" applyNumberFormat="1" applyBorder="1" applyAlignment="1">
      <alignment horizontal="center" vertical="top"/>
    </xf>
    <xf numFmtId="44" fontId="0" fillId="0" borderId="2" xfId="0" applyNumberFormat="1" applyBorder="1" applyAlignment="1">
      <alignment horizontal="center" vertical="top"/>
    </xf>
    <xf numFmtId="44" fontId="1" fillId="0" borderId="2" xfId="0" applyNumberFormat="1" applyFont="1" applyBorder="1" applyAlignment="1">
      <alignment horizontal="center" vertical="top"/>
    </xf>
    <xf numFmtId="44" fontId="0" fillId="0" borderId="0" xfId="0" applyNumberFormat="1" applyFill="1"/>
    <xf numFmtId="8" fontId="0" fillId="0" borderId="0" xfId="0" applyNumberFormat="1" applyFill="1"/>
    <xf numFmtId="44" fontId="0" fillId="0" borderId="0" xfId="1" applyFont="1" applyFill="1"/>
    <xf numFmtId="2" fontId="0" fillId="0" borderId="2" xfId="0" applyNumberFormat="1" applyBorder="1" applyAlignment="1">
      <alignment horizontal="center" vertical="center"/>
    </xf>
    <xf numFmtId="2" fontId="0" fillId="0" borderId="2" xfId="2" applyNumberFormat="1" applyFont="1" applyBorder="1" applyAlignment="1">
      <alignment horizontal="center" vertical="center"/>
    </xf>
    <xf numFmtId="2" fontId="0" fillId="0" borderId="2" xfId="0" applyNumberFormat="1" applyFill="1" applyBorder="1" applyAlignment="1">
      <alignment horizontal="center" vertical="center"/>
    </xf>
    <xf numFmtId="2" fontId="0" fillId="0" borderId="2" xfId="0" applyNumberFormat="1" applyBorder="1" applyAlignment="1">
      <alignment horizontal="center" vertical="top"/>
    </xf>
    <xf numFmtId="2" fontId="0" fillId="0" borderId="2" xfId="2" applyNumberFormat="1" applyFont="1" applyBorder="1" applyAlignment="1">
      <alignment horizontal="center" vertical="top"/>
    </xf>
    <xf numFmtId="2" fontId="0" fillId="0" borderId="2" xfId="0" applyNumberFormat="1" applyFill="1" applyBorder="1" applyAlignment="1">
      <alignment horizontal="center" vertical="top"/>
    </xf>
    <xf numFmtId="0" fontId="0" fillId="0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1" fillId="0" borderId="0" xfId="0" applyFont="1" applyAlignment="1">
      <alignment horizontal="center"/>
    </xf>
    <xf numFmtId="164" fontId="1" fillId="0" borderId="24" xfId="0" applyNumberFormat="1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wrapText="1"/>
    </xf>
    <xf numFmtId="0" fontId="0" fillId="0" borderId="2" xfId="0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9" borderId="49" xfId="0" applyNumberFormat="1" applyFont="1" applyFill="1" applyBorder="1" applyAlignment="1">
      <alignment horizontal="center" vertical="center" wrapText="1"/>
    </xf>
    <xf numFmtId="0" fontId="1" fillId="0" borderId="49" xfId="0" applyNumberFormat="1" applyFont="1" applyFill="1" applyBorder="1" applyAlignment="1">
      <alignment horizontal="center" wrapText="1"/>
    </xf>
    <xf numFmtId="0" fontId="1" fillId="0" borderId="0" xfId="0" applyNumberFormat="1" applyFont="1" applyFill="1" applyBorder="1" applyAlignment="1">
      <alignment vertical="center"/>
    </xf>
    <xf numFmtId="0" fontId="0" fillId="0" borderId="0" xfId="0" applyNumberFormat="1" applyFill="1" applyBorder="1"/>
    <xf numFmtId="0" fontId="3" fillId="0" borderId="0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horizontal="center" vertical="center" wrapText="1"/>
    </xf>
    <xf numFmtId="0" fontId="1" fillId="0" borderId="0" xfId="2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top"/>
    </xf>
    <xf numFmtId="166" fontId="0" fillId="0" borderId="0" xfId="0" applyNumberFormat="1" applyFill="1" applyBorder="1" applyAlignment="1">
      <alignment horizontal="center" vertical="top"/>
    </xf>
    <xf numFmtId="10" fontId="0" fillId="0" borderId="0" xfId="0" applyNumberFormat="1" applyFill="1" applyBorder="1" applyAlignment="1">
      <alignment horizontal="center" vertical="top"/>
    </xf>
    <xf numFmtId="2" fontId="0" fillId="0" borderId="0" xfId="0" applyNumberFormat="1" applyFill="1" applyBorder="1" applyAlignment="1">
      <alignment horizontal="center" vertical="top"/>
    </xf>
    <xf numFmtId="2" fontId="0" fillId="0" borderId="0" xfId="2" applyNumberFormat="1" applyFont="1" applyFill="1" applyBorder="1" applyAlignment="1">
      <alignment horizontal="center" vertical="top"/>
    </xf>
    <xf numFmtId="44" fontId="0" fillId="0" borderId="0" xfId="0" applyNumberFormat="1" applyFill="1" applyBorder="1" applyAlignment="1">
      <alignment horizontal="center" vertical="top"/>
    </xf>
    <xf numFmtId="44" fontId="1" fillId="0" borderId="0" xfId="0" applyNumberFormat="1" applyFont="1" applyFill="1" applyBorder="1" applyAlignment="1">
      <alignment horizontal="center" vertical="top"/>
    </xf>
    <xf numFmtId="44" fontId="1" fillId="0" borderId="0" xfId="1" applyFont="1" applyFill="1" applyBorder="1" applyAlignment="1">
      <alignment horizontal="center" vertical="center"/>
    </xf>
    <xf numFmtId="44" fontId="1" fillId="0" borderId="0" xfId="0" applyNumberFormat="1" applyFont="1" applyFill="1" applyBorder="1" applyAlignment="1">
      <alignment vertical="top"/>
    </xf>
    <xf numFmtId="0" fontId="1" fillId="0" borderId="0" xfId="0" applyFont="1" applyFill="1" applyBorder="1" applyAlignment="1">
      <alignment vertical="top"/>
    </xf>
    <xf numFmtId="0" fontId="8" fillId="0" borderId="0" xfId="0" applyFont="1" applyFill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164" fontId="0" fillId="0" borderId="0" xfId="1" applyNumberFormat="1" applyFont="1" applyFill="1"/>
    <xf numFmtId="0" fontId="0" fillId="0" borderId="0" xfId="0" applyFont="1" applyFill="1" applyBorder="1" applyAlignment="1">
      <alignment horizontal="center"/>
    </xf>
    <xf numFmtId="44" fontId="1" fillId="0" borderId="37" xfId="0" applyNumberFormat="1" applyFont="1" applyBorder="1" applyAlignment="1">
      <alignment horizontal="center" vertical="center"/>
    </xf>
    <xf numFmtId="44" fontId="1" fillId="0" borderId="38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64" fontId="0" fillId="0" borderId="0" xfId="0" applyNumberFormat="1" applyFill="1" applyAlignment="1">
      <alignment horizontal="left" vertical="center"/>
    </xf>
    <xf numFmtId="164" fontId="0" fillId="0" borderId="0" xfId="0" applyNumberFormat="1" applyAlignment="1">
      <alignment horizontal="left" vertical="center"/>
    </xf>
    <xf numFmtId="164" fontId="0" fillId="0" borderId="0" xfId="1" applyNumberFormat="1" applyFont="1" applyFill="1" applyAlignment="1">
      <alignment horizontal="left" vertical="center"/>
    </xf>
    <xf numFmtId="9" fontId="0" fillId="0" borderId="29" xfId="0" applyNumberFormat="1" applyFont="1" applyFill="1" applyBorder="1" applyAlignment="1">
      <alignment horizontal="center"/>
    </xf>
    <xf numFmtId="44" fontId="0" fillId="0" borderId="29" xfId="1" applyFont="1" applyBorder="1"/>
    <xf numFmtId="10" fontId="0" fillId="0" borderId="29" xfId="0" applyNumberFormat="1" applyBorder="1" applyAlignment="1">
      <alignment horizontal="center"/>
    </xf>
    <xf numFmtId="9" fontId="0" fillId="0" borderId="29" xfId="0" applyNumberFormat="1" applyBorder="1" applyAlignment="1">
      <alignment horizontal="center"/>
    </xf>
    <xf numFmtId="0" fontId="0" fillId="0" borderId="29" xfId="0" applyFont="1" applyFill="1" applyBorder="1" applyAlignment="1"/>
    <xf numFmtId="0" fontId="0" fillId="0" borderId="0" xfId="0" applyFont="1" applyFill="1" applyBorder="1" applyAlignment="1"/>
    <xf numFmtId="0" fontId="0" fillId="0" borderId="39" xfId="0" applyFill="1" applyBorder="1" applyAlignment="1">
      <alignment horizontal="center" vertical="center"/>
    </xf>
    <xf numFmtId="10" fontId="0" fillId="0" borderId="39" xfId="2" applyNumberFormat="1" applyFont="1" applyFill="1" applyBorder="1" applyAlignment="1">
      <alignment horizontal="center" vertical="center"/>
    </xf>
    <xf numFmtId="164" fontId="9" fillId="2" borderId="50" xfId="0" applyNumberFormat="1" applyFont="1" applyFill="1" applyBorder="1"/>
    <xf numFmtId="0" fontId="1" fillId="0" borderId="0" xfId="0" applyFont="1" applyBorder="1" applyAlignment="1">
      <alignment horizontal="center" vertical="center"/>
    </xf>
    <xf numFmtId="44" fontId="1" fillId="0" borderId="37" xfId="0" applyNumberFormat="1" applyFont="1" applyBorder="1" applyAlignment="1">
      <alignment horizontal="center" vertical="center"/>
    </xf>
    <xf numFmtId="44" fontId="1" fillId="0" borderId="38" xfId="0" applyNumberFormat="1" applyFont="1" applyBorder="1" applyAlignment="1">
      <alignment horizontal="center" vertical="center"/>
    </xf>
    <xf numFmtId="0" fontId="1" fillId="11" borderId="2" xfId="0" applyFont="1" applyFill="1" applyBorder="1" applyAlignment="1">
      <alignment horizontal="center" vertical="center"/>
    </xf>
    <xf numFmtId="0" fontId="1" fillId="0" borderId="31" xfId="0" applyNumberFormat="1" applyFont="1" applyFill="1" applyBorder="1" applyAlignment="1">
      <alignment horizontal="center" vertical="center"/>
    </xf>
    <xf numFmtId="0" fontId="1" fillId="0" borderId="36" xfId="0" applyNumberFormat="1" applyFont="1" applyFill="1" applyBorder="1" applyAlignment="1">
      <alignment horizontal="center" vertical="center"/>
    </xf>
    <xf numFmtId="0" fontId="1" fillId="0" borderId="34" xfId="0" applyNumberFormat="1" applyFont="1" applyFill="1" applyBorder="1" applyAlignment="1">
      <alignment horizontal="center" vertical="center"/>
    </xf>
    <xf numFmtId="0" fontId="8" fillId="11" borderId="30" xfId="0" applyNumberFormat="1" applyFont="1" applyFill="1" applyBorder="1" applyAlignment="1">
      <alignment horizontal="center" vertical="center"/>
    </xf>
    <xf numFmtId="0" fontId="8" fillId="11" borderId="29" xfId="0" applyNumberFormat="1" applyFont="1" applyFill="1" applyBorder="1" applyAlignment="1">
      <alignment horizontal="center" vertical="center"/>
    </xf>
    <xf numFmtId="0" fontId="8" fillId="11" borderId="31" xfId="0" applyNumberFormat="1" applyFont="1" applyFill="1" applyBorder="1" applyAlignment="1">
      <alignment horizontal="center" vertical="center"/>
    </xf>
    <xf numFmtId="0" fontId="8" fillId="11" borderId="35" xfId="0" applyNumberFormat="1" applyFont="1" applyFill="1" applyBorder="1" applyAlignment="1">
      <alignment horizontal="center" vertical="center"/>
    </xf>
    <xf numFmtId="0" fontId="8" fillId="11" borderId="0" xfId="0" applyNumberFormat="1" applyFont="1" applyFill="1" applyBorder="1" applyAlignment="1">
      <alignment horizontal="center" vertical="center"/>
    </xf>
    <xf numFmtId="0" fontId="8" fillId="11" borderId="36" xfId="0" applyNumberFormat="1" applyFont="1" applyFill="1" applyBorder="1" applyAlignment="1">
      <alignment horizontal="center" vertical="center"/>
    </xf>
    <xf numFmtId="0" fontId="8" fillId="11" borderId="32" xfId="0" applyNumberFormat="1" applyFont="1" applyFill="1" applyBorder="1" applyAlignment="1">
      <alignment horizontal="center" vertical="center"/>
    </xf>
    <xf numFmtId="0" fontId="8" fillId="11" borderId="33" xfId="0" applyNumberFormat="1" applyFont="1" applyFill="1" applyBorder="1" applyAlignment="1">
      <alignment horizontal="center" vertical="center"/>
    </xf>
    <xf numFmtId="0" fontId="8" fillId="11" borderId="34" xfId="0" applyNumberFormat="1" applyFont="1" applyFill="1" applyBorder="1" applyAlignment="1">
      <alignment horizontal="center" vertical="center"/>
    </xf>
    <xf numFmtId="0" fontId="1" fillId="12" borderId="0" xfId="0" applyFont="1" applyFill="1" applyAlignment="1">
      <alignment horizontal="center"/>
    </xf>
    <xf numFmtId="0" fontId="0" fillId="0" borderId="2" xfId="0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44" fontId="1" fillId="0" borderId="2" xfId="0" applyNumberFormat="1" applyFont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/>
    </xf>
    <xf numFmtId="44" fontId="1" fillId="0" borderId="2" xfId="2" applyNumberFormat="1" applyFont="1" applyBorder="1" applyAlignment="1">
      <alignment horizontal="center" vertical="center"/>
    </xf>
    <xf numFmtId="0" fontId="1" fillId="0" borderId="2" xfId="2" applyNumberFormat="1" applyFont="1" applyBorder="1" applyAlignment="1">
      <alignment horizontal="center" vertical="center"/>
    </xf>
    <xf numFmtId="44" fontId="1" fillId="0" borderId="2" xfId="0" applyNumberFormat="1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10" borderId="40" xfId="0" applyFill="1" applyBorder="1" applyAlignment="1">
      <alignment horizontal="center" vertical="center" wrapText="1"/>
    </xf>
    <xf numFmtId="0" fontId="0" fillId="10" borderId="42" xfId="0" applyFill="1" applyBorder="1" applyAlignment="1">
      <alignment horizontal="center" vertical="center" wrapText="1"/>
    </xf>
    <xf numFmtId="0" fontId="0" fillId="10" borderId="44" xfId="0" applyFill="1" applyBorder="1" applyAlignment="1">
      <alignment horizontal="center" vertical="center" wrapText="1"/>
    </xf>
    <xf numFmtId="10" fontId="0" fillId="6" borderId="41" xfId="2" applyNumberFormat="1" applyFont="1" applyFill="1" applyBorder="1" applyAlignment="1">
      <alignment horizontal="center" vertical="top" wrapText="1"/>
    </xf>
    <xf numFmtId="10" fontId="0" fillId="6" borderId="43" xfId="2" applyNumberFormat="1" applyFont="1" applyFill="1" applyBorder="1" applyAlignment="1">
      <alignment horizontal="center" vertical="top" wrapText="1"/>
    </xf>
    <xf numFmtId="10" fontId="0" fillId="6" borderId="45" xfId="2" applyNumberFormat="1" applyFont="1" applyFill="1" applyBorder="1" applyAlignment="1">
      <alignment horizontal="center" vertical="top" wrapText="1"/>
    </xf>
    <xf numFmtId="0" fontId="1" fillId="0" borderId="49" xfId="0" applyNumberFormat="1" applyFont="1" applyBorder="1" applyAlignment="1">
      <alignment horizontal="center" wrapText="1"/>
    </xf>
    <xf numFmtId="44" fontId="1" fillId="0" borderId="37" xfId="2" applyNumberFormat="1" applyFont="1" applyBorder="1" applyAlignment="1">
      <alignment horizontal="center" vertical="center"/>
    </xf>
    <xf numFmtId="44" fontId="1" fillId="0" borderId="38" xfId="2" applyNumberFormat="1" applyFont="1" applyBorder="1" applyAlignment="1">
      <alignment horizontal="center" vertical="center"/>
    </xf>
    <xf numFmtId="44" fontId="1" fillId="0" borderId="37" xfId="0" applyNumberFormat="1" applyFont="1" applyFill="1" applyBorder="1" applyAlignment="1">
      <alignment horizontal="center" vertical="center"/>
    </xf>
    <xf numFmtId="44" fontId="1" fillId="0" borderId="38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29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1" fillId="0" borderId="37" xfId="0" applyNumberFormat="1" applyFont="1" applyFill="1" applyBorder="1" applyAlignment="1">
      <alignment horizontal="center" vertical="center"/>
    </xf>
    <xf numFmtId="0" fontId="1" fillId="0" borderId="39" xfId="0" applyNumberFormat="1" applyFont="1" applyFill="1" applyBorder="1" applyAlignment="1">
      <alignment horizontal="center" vertical="center"/>
    </xf>
    <xf numFmtId="0" fontId="1" fillId="0" borderId="38" xfId="0" applyNumberFormat="1" applyFont="1" applyFill="1" applyBorder="1" applyAlignment="1">
      <alignment horizontal="center" vertical="center"/>
    </xf>
    <xf numFmtId="0" fontId="8" fillId="11" borderId="30" xfId="0" applyFont="1" applyFill="1" applyBorder="1" applyAlignment="1">
      <alignment horizontal="center" vertical="center"/>
    </xf>
    <xf numFmtId="0" fontId="8" fillId="11" borderId="29" xfId="0" applyFont="1" applyFill="1" applyBorder="1" applyAlignment="1">
      <alignment horizontal="center" vertical="center"/>
    </xf>
    <xf numFmtId="0" fontId="8" fillId="11" borderId="31" xfId="0" applyFont="1" applyFill="1" applyBorder="1" applyAlignment="1">
      <alignment horizontal="center" vertical="center"/>
    </xf>
    <xf numFmtId="0" fontId="8" fillId="11" borderId="35" xfId="0" applyFont="1" applyFill="1" applyBorder="1" applyAlignment="1">
      <alignment horizontal="center" vertical="center"/>
    </xf>
    <xf numFmtId="0" fontId="8" fillId="11" borderId="0" xfId="0" applyFont="1" applyFill="1" applyBorder="1" applyAlignment="1">
      <alignment horizontal="center" vertical="center"/>
    </xf>
    <xf numFmtId="0" fontId="8" fillId="11" borderId="36" xfId="0" applyFont="1" applyFill="1" applyBorder="1" applyAlignment="1">
      <alignment horizontal="center" vertical="center"/>
    </xf>
    <xf numFmtId="0" fontId="8" fillId="11" borderId="32" xfId="0" applyFont="1" applyFill="1" applyBorder="1" applyAlignment="1">
      <alignment horizontal="center" vertical="center"/>
    </xf>
    <xf numFmtId="0" fontId="8" fillId="11" borderId="33" xfId="0" applyFont="1" applyFill="1" applyBorder="1" applyAlignment="1">
      <alignment horizontal="center" vertical="center"/>
    </xf>
    <xf numFmtId="0" fontId="8" fillId="11" borderId="34" xfId="0" applyFont="1" applyFill="1" applyBorder="1" applyAlignment="1">
      <alignment horizontal="center" vertical="center"/>
    </xf>
    <xf numFmtId="44" fontId="1" fillId="0" borderId="37" xfId="0" applyNumberFormat="1" applyFont="1" applyBorder="1" applyAlignment="1">
      <alignment horizontal="center" vertical="top"/>
    </xf>
    <xf numFmtId="0" fontId="1" fillId="0" borderId="38" xfId="0" applyFont="1" applyBorder="1" applyAlignment="1">
      <alignment horizontal="center" vertical="top"/>
    </xf>
    <xf numFmtId="0" fontId="1" fillId="0" borderId="37" xfId="0" applyFont="1" applyFill="1" applyBorder="1" applyAlignment="1">
      <alignment horizontal="center"/>
    </xf>
    <xf numFmtId="0" fontId="1" fillId="0" borderId="39" xfId="0" applyFont="1" applyFill="1" applyBorder="1" applyAlignment="1">
      <alignment horizontal="center"/>
    </xf>
    <xf numFmtId="0" fontId="1" fillId="0" borderId="38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NumberFormat="1" applyFont="1" applyBorder="1" applyAlignment="1">
      <alignment horizontal="center" wrapText="1"/>
    </xf>
    <xf numFmtId="0" fontId="0" fillId="0" borderId="2" xfId="0" applyBorder="1" applyAlignment="1">
      <alignment horizontal="center" vertical="center"/>
    </xf>
    <xf numFmtId="166" fontId="0" fillId="10" borderId="41" xfId="0" applyNumberFormat="1" applyFont="1" applyFill="1" applyBorder="1" applyAlignment="1">
      <alignment horizontal="center" vertical="top" wrapText="1"/>
    </xf>
    <xf numFmtId="166" fontId="0" fillId="10" borderId="43" xfId="0" applyNumberFormat="1" applyFont="1" applyFill="1" applyBorder="1" applyAlignment="1">
      <alignment horizontal="center" vertical="top" wrapText="1"/>
    </xf>
    <xf numFmtId="166" fontId="0" fillId="10" borderId="45" xfId="0" applyNumberFormat="1" applyFont="1" applyFill="1" applyBorder="1" applyAlignment="1">
      <alignment horizontal="center" vertical="top" wrapText="1"/>
    </xf>
    <xf numFmtId="166" fontId="0" fillId="6" borderId="40" xfId="0" applyNumberFormat="1" applyFill="1" applyBorder="1" applyAlignment="1">
      <alignment horizontal="center" vertical="top" wrapText="1"/>
    </xf>
    <xf numFmtId="166" fontId="0" fillId="6" borderId="42" xfId="0" applyNumberFormat="1" applyFill="1" applyBorder="1" applyAlignment="1">
      <alignment horizontal="center" vertical="top" wrapText="1"/>
    </xf>
    <xf numFmtId="166" fontId="0" fillId="6" borderId="44" xfId="0" applyNumberFormat="1" applyFill="1" applyBorder="1" applyAlignment="1">
      <alignment horizontal="center" vertical="top" wrapText="1"/>
    </xf>
    <xf numFmtId="44" fontId="0" fillId="13" borderId="29" xfId="1" applyFont="1" applyFill="1" applyBorder="1" applyAlignment="1">
      <alignment horizontal="center" vertical="top" wrapText="1"/>
    </xf>
    <xf numFmtId="44" fontId="0" fillId="13" borderId="0" xfId="1" applyFont="1" applyFill="1" applyAlignment="1">
      <alignment horizontal="center" vertical="top" wrapText="1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2" xfId="0" applyFont="1" applyFill="1" applyBorder="1" applyAlignment="1">
      <alignment horizontal="center"/>
    </xf>
    <xf numFmtId="0" fontId="0" fillId="0" borderId="0" xfId="0" applyBorder="1" applyAlignment="1">
      <alignment horizontal="center" wrapText="1"/>
    </xf>
    <xf numFmtId="165" fontId="0" fillId="6" borderId="29" xfId="0" applyNumberFormat="1" applyFill="1" applyBorder="1" applyAlignment="1">
      <alignment horizontal="center" vertical="top" wrapText="1"/>
    </xf>
    <xf numFmtId="165" fontId="0" fillId="6" borderId="0" xfId="0" applyNumberFormat="1" applyFill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164" fontId="1" fillId="0" borderId="24" xfId="0" applyNumberFormat="1" applyFont="1" applyBorder="1" applyAlignment="1">
      <alignment horizontal="center"/>
    </xf>
    <xf numFmtId="164" fontId="1" fillId="0" borderId="25" xfId="0" applyNumberFormat="1" applyFont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1" fillId="3" borderId="13" xfId="0" applyFont="1" applyFill="1" applyBorder="1" applyAlignment="1">
      <alignment horizontal="center" wrapText="1"/>
    </xf>
    <xf numFmtId="0" fontId="1" fillId="3" borderId="8" xfId="0" applyFont="1" applyFill="1" applyBorder="1" applyAlignment="1">
      <alignment horizontal="center" wrapText="1"/>
    </xf>
    <xf numFmtId="0" fontId="1" fillId="3" borderId="10" xfId="0" applyFont="1" applyFill="1" applyBorder="1" applyAlignment="1">
      <alignment horizontal="center" wrapText="1"/>
    </xf>
    <xf numFmtId="0" fontId="1" fillId="3" borderId="13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0" borderId="24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3" borderId="19" xfId="0" applyFont="1" applyFill="1" applyBorder="1" applyAlignment="1">
      <alignment horizontal="center" wrapText="1"/>
    </xf>
    <xf numFmtId="0" fontId="1" fillId="3" borderId="20" xfId="0" applyFont="1" applyFill="1" applyBorder="1" applyAlignment="1">
      <alignment horizontal="center" wrapText="1"/>
    </xf>
    <xf numFmtId="0" fontId="1" fillId="3" borderId="21" xfId="0" applyFont="1" applyFill="1" applyBorder="1" applyAlignment="1">
      <alignment horizontal="center" wrapText="1"/>
    </xf>
    <xf numFmtId="0" fontId="1" fillId="3" borderId="23" xfId="0" applyFont="1" applyFill="1" applyBorder="1" applyAlignment="1">
      <alignment horizontal="center" wrapText="1"/>
    </xf>
    <xf numFmtId="0" fontId="1" fillId="0" borderId="3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3" borderId="16" xfId="0" applyFont="1" applyFill="1" applyBorder="1" applyAlignment="1">
      <alignment horizontal="center" wrapText="1"/>
    </xf>
    <xf numFmtId="0" fontId="1" fillId="3" borderId="6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 wrapText="1"/>
    </xf>
    <xf numFmtId="0" fontId="0" fillId="0" borderId="0" xfId="0" applyAlignment="1">
      <alignment horizontal="center" vertical="top" wrapText="1"/>
    </xf>
  </cellXfs>
  <cellStyles count="3">
    <cellStyle name="Currency" xfId="1" builtinId="4"/>
    <cellStyle name="Normal" xfId="0" builtinId="0"/>
    <cellStyle name="Percent" xfId="2" builtinId="5"/>
  </cellStyles>
  <dxfs count="42">
    <dxf>
      <numFmt numFmtId="164" formatCode="&quot;$&quot;#,##0.0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&quot;$&quot;#,##0.00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alignment horizontal="center" vertical="center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numFmt numFmtId="164" formatCode="&quot;$&quot;#,##0.0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&quot;$&quot;#,##0.00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theme="4" tint="0.79998168889431442"/>
          <bgColor rgb="FF0070C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&quot;$&quot;#,##0.00"/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alignment horizontal="general" vertical="bottom" textRotation="0" wrapText="0" indent="0" justifyLastLine="0" shrinkToFit="0" readingOrder="0"/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solid">
          <fgColor theme="4" tint="0.79998168889431442"/>
          <bgColor rgb="FF0070C0"/>
        </patternFill>
      </fill>
    </dxf>
    <dxf>
      <numFmt numFmtId="164" formatCode="&quot;$&quot;#,##0.00"/>
    </dxf>
    <dxf>
      <border outline="0">
        <top style="thin">
          <color rgb="FF7030A0"/>
        </top>
      </border>
    </dxf>
    <dxf>
      <numFmt numFmtId="164" formatCode="&quot;$&quot;#,##0.00"/>
    </dxf>
    <dxf>
      <alignment horizontal="center" vertical="center" textRotation="0" wrapText="0" indent="0" justifyLastLine="0" shrinkToFit="0" readingOrder="0"/>
    </dxf>
    <dxf>
      <border outline="0">
        <top style="thin">
          <color rgb="FF7030A0"/>
        </top>
      </border>
    </dxf>
    <dxf>
      <numFmt numFmtId="164" formatCode="&quot;$&quot;#,##0.00"/>
    </dxf>
    <dxf>
      <border outline="0">
        <top style="thin">
          <color rgb="FF7030A0"/>
        </top>
      </border>
    </dxf>
    <dxf>
      <numFmt numFmtId="164" formatCode="&quot;$&quot;#,##0.00"/>
    </dxf>
    <dxf>
      <alignment horizontal="center" vertical="center" textRotation="0" wrapText="0" indent="0" justifyLastLine="0" shrinkToFit="0" readingOrder="0"/>
    </dxf>
    <dxf>
      <border outline="0">
        <top style="thin">
          <color rgb="FF7030A0"/>
        </top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numFmt numFmtId="164" formatCode="&quot;$&quot;#,##0.0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microsoft.com/office/2017/10/relationships/person" Target="persons/perso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ichard acquah-sarpong" id="{51222A97-5EEB-4F71-A54C-E951045D7013}" userId="fde38314d602b926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0000000}" name="tangCol1" displayName="tangCol1" ref="A5:C12" totalsRowShown="0">
  <autoFilter ref="A5:C12" xr:uid="{00000000-0009-0000-0100-000005000000}"/>
  <tableColumns count="3">
    <tableColumn id="1" xr3:uid="{00000000-0010-0000-0000-000001000000}" name="Age" dataDxfId="41"/>
    <tableColumn id="2" xr3:uid="{00000000-0010-0000-0000-000002000000}" name="year"/>
    <tableColumn id="3" xr3:uid="{00000000-0010-0000-0000-000003000000}" name="PV" dataDxfId="4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1000000}" name="tangCol2" displayName="tangCol2" ref="I5:K12" totalsRowShown="0">
  <autoFilter ref="I5:K12" xr:uid="{00000000-0009-0000-0100-000006000000}"/>
  <tableColumns count="3">
    <tableColumn id="1" xr3:uid="{00000000-0010-0000-0100-000001000000}" name="Age"/>
    <tableColumn id="2" xr3:uid="{00000000-0010-0000-0100-000002000000}" name="year"/>
    <tableColumn id="3" xr3:uid="{00000000-0010-0000-0100-000003000000}" name="PV" dataDxfId="3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2000000}" name="tangheart1" displayName="tangheart1" ref="A5:C12" totalsRowShown="0">
  <autoFilter ref="A5:C12" xr:uid="{00000000-0009-0000-0100-000007000000}"/>
  <tableColumns count="3">
    <tableColumn id="1" xr3:uid="{00000000-0010-0000-0200-000001000000}" name="Age"/>
    <tableColumn id="2" xr3:uid="{00000000-0010-0000-0200-000002000000}" name="year"/>
    <tableColumn id="3" xr3:uid="{00000000-0010-0000-0200-000003000000}" name="PV" dataDxfId="3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3000000}" name="tangheart2" displayName="tangheart2" ref="I5:K12" totalsRowShown="0">
  <autoFilter ref="I5:K12" xr:uid="{00000000-0009-0000-0100-000008000000}"/>
  <tableColumns count="3">
    <tableColumn id="1" xr3:uid="{00000000-0010-0000-0300-000001000000}" name="Age"/>
    <tableColumn id="2" xr3:uid="{00000000-0010-0000-0300-000002000000}" name="year"/>
    <tableColumn id="3" xr3:uid="{00000000-0010-0000-0300-000003000000}" name="PV" dataDxfId="37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4000000}" name="tangheart13" displayName="tangheart13" ref="M5:O12" totalsRowShown="0">
  <autoFilter ref="M5:O12" xr:uid="{00000000-0009-0000-0100-000002000000}"/>
  <tableColumns count="3">
    <tableColumn id="1" xr3:uid="{00000000-0010-0000-0400-000001000000}" name="Age"/>
    <tableColumn id="2" xr3:uid="{00000000-0010-0000-0400-000002000000}" name="year"/>
    <tableColumn id="3" xr3:uid="{00000000-0010-0000-0400-000003000000}" name="PV" dataDxfId="36">
      <calculatedColumnFormula>('Data &amp; PV'!$J$3/(1+5%)^tangheart13[[#This Row],[year]])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5000000}" name="tangheart14" displayName="tangheart14" ref="U5:W12" totalsRowShown="0">
  <autoFilter ref="U5:W12" xr:uid="{00000000-0009-0000-0100-000003000000}"/>
  <tableColumns count="3">
    <tableColumn id="1" xr3:uid="{00000000-0010-0000-0500-000001000000}" name="Age"/>
    <tableColumn id="2" xr3:uid="{00000000-0010-0000-0500-000002000000}" name="year"/>
    <tableColumn id="3" xr3:uid="{00000000-0010-0000-0500-000003000000}" name="PV" dataDxfId="35">
      <calculatedColumnFormula>('Data &amp; PV'!$J$3/(1+5%)^tangheart14[[#This Row],[year]])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6000000}" name="Table9" displayName="Table9" ref="A5:C17" totalsRowShown="0" tableBorderDxfId="34">
  <autoFilter ref="A5:C17" xr:uid="{00000000-0009-0000-0100-000009000000}"/>
  <tableColumns count="3">
    <tableColumn id="1" xr3:uid="{00000000-0010-0000-0600-000001000000}" name="Age"/>
    <tableColumn id="2" xr3:uid="{00000000-0010-0000-0600-000002000000}" name="year"/>
    <tableColumn id="3" xr3:uid="{00000000-0010-0000-0600-000003000000}" name="PV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7000000}" name="Table10" displayName="Table10" ref="I5:K17" totalsRowShown="0" headerRowBorderDxfId="33" tableBorderDxfId="32">
  <autoFilter ref="I5:K17" xr:uid="{00000000-0009-0000-0100-00000A000000}"/>
  <tableColumns count="3">
    <tableColumn id="1" xr3:uid="{00000000-0010-0000-0700-000001000000}" name="Age"/>
    <tableColumn id="2" xr3:uid="{00000000-0010-0000-0700-000002000000}" name="year"/>
    <tableColumn id="3" xr3:uid="{00000000-0010-0000-0700-000003000000}" name="PV" dataDxfId="31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8000000}" name="Table95" displayName="Table95" ref="N5:P17" totalsRowShown="0" tableBorderDxfId="30">
  <autoFilter ref="N5:P17" xr:uid="{00000000-0009-0000-0100-000004000000}"/>
  <tableColumns count="3">
    <tableColumn id="1" xr3:uid="{00000000-0010-0000-0800-000001000000}" name="Age"/>
    <tableColumn id="2" xr3:uid="{00000000-0010-0000-0800-000002000000}" name="year"/>
    <tableColumn id="3" xr3:uid="{00000000-0010-0000-0800-000003000000}" name="PV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9000000}" name="Table914" displayName="Table914" ref="V5:X17" totalsRowShown="0" tableBorderDxfId="29">
  <autoFilter ref="V5:X17" xr:uid="{00000000-0009-0000-0100-00000D000000}"/>
  <tableColumns count="3">
    <tableColumn id="1" xr3:uid="{00000000-0010-0000-0900-000001000000}" name="Age"/>
    <tableColumn id="2" xr3:uid="{00000000-0010-0000-0900-000002000000}" name="year"/>
    <tableColumn id="3" xr3:uid="{00000000-0010-0000-0900-000003000000}" name="PV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Table11" displayName="Table11" ref="A5:C27" totalsRowShown="0" tableBorderDxfId="28">
  <autoFilter ref="A5:C27" xr:uid="{00000000-0009-0000-0100-00000B000000}"/>
  <tableColumns count="3">
    <tableColumn id="1" xr3:uid="{00000000-0010-0000-0A00-000001000000}" name="Age" dataDxfId="27"/>
    <tableColumn id="2" xr3:uid="{00000000-0010-0000-0A00-000002000000}" name="year"/>
    <tableColumn id="3" xr3:uid="{00000000-0010-0000-0A00-000003000000}" name="PV" dataDxfId="26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Table12" displayName="Table12" ref="I5:K27" totalsRowShown="0" tableBorderDxfId="25">
  <autoFilter ref="I5:K27" xr:uid="{00000000-0009-0000-0100-00000C000000}"/>
  <tableColumns count="3">
    <tableColumn id="1" xr3:uid="{00000000-0010-0000-0B00-000001000000}" name="Age"/>
    <tableColumn id="2" xr3:uid="{00000000-0010-0000-0B00-000002000000}" name="year"/>
    <tableColumn id="3" xr3:uid="{00000000-0010-0000-0B00-000003000000}" name="PV" dataDxfId="24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C000000}" name="Table1116" displayName="Table1116" ref="O5:Q27" totalsRowShown="0" tableBorderDxfId="23">
  <autoFilter ref="O5:Q27" xr:uid="{00000000-0009-0000-0100-00000F000000}"/>
  <tableColumns count="3">
    <tableColumn id="1" xr3:uid="{00000000-0010-0000-0C00-000001000000}" name="Age" dataDxfId="22"/>
    <tableColumn id="2" xr3:uid="{00000000-0010-0000-0C00-000002000000}" name="year"/>
    <tableColumn id="3" xr3:uid="{00000000-0010-0000-0C00-000003000000}" name="PV" dataDxfId="21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0D000000}" name="Table1221" displayName="Table1221" ref="V5:X27" totalsRowShown="0" tableBorderDxfId="20">
  <autoFilter ref="V5:X27" xr:uid="{00000000-0009-0000-0100-000014000000}"/>
  <tableColumns count="3">
    <tableColumn id="1" xr3:uid="{00000000-0010-0000-0D00-000001000000}" name="Age"/>
    <tableColumn id="2" xr3:uid="{00000000-0010-0000-0D00-000002000000}" name="year"/>
    <tableColumn id="3" xr3:uid="{00000000-0010-0000-0D00-000003000000}" name="PV" dataDxfId="19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0E000000}" name="Table18" displayName="Table18" ref="A4:C35" totalsRowShown="0" headerRowDxfId="18" tableBorderDxfId="17">
  <autoFilter ref="A4:C35" xr:uid="{00000000-0009-0000-0100-000012000000}"/>
  <tableColumns count="3">
    <tableColumn id="1" xr3:uid="{00000000-0010-0000-0E00-000001000000}" name="Age"/>
    <tableColumn id="2" xr3:uid="{00000000-0010-0000-0E00-000002000000}" name="year" dataDxfId="16"/>
    <tableColumn id="3" xr3:uid="{00000000-0010-0000-0E00-000003000000}" name="PV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F000000}" name="Table1" displayName="Table1" ref="K4:M22" totalsRowShown="0" headerRowBorderDxfId="15" tableBorderDxfId="14">
  <autoFilter ref="K4:M22" xr:uid="{00000000-0009-0000-0100-000001000000}"/>
  <tableColumns count="3">
    <tableColumn id="1" xr3:uid="{00000000-0010-0000-0F00-000001000000}" name="Age"/>
    <tableColumn id="2" xr3:uid="{00000000-0010-0000-0F00-000002000000}" name="year"/>
    <tableColumn id="3" xr3:uid="{00000000-0010-0000-0F00-000003000000}" name="PV" dataDxfId="13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10000000}" name="Table17" displayName="Table17" ref="A4:C31" totalsRowShown="0" headerRowDxfId="12" tableBorderDxfId="11">
  <autoFilter ref="A4:C31" xr:uid="{00000000-0009-0000-0100-000011000000}"/>
  <tableColumns count="3">
    <tableColumn id="1" xr3:uid="{00000000-0010-0000-1000-000001000000}" name="Age"/>
    <tableColumn id="2" xr3:uid="{00000000-0010-0000-1000-000002000000}" name="year"/>
    <tableColumn id="3" xr3:uid="{00000000-0010-0000-1000-000003000000}" name="PV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11000000}" name="Table14" displayName="Table14" ref="O4:Q18" totalsRowShown="0" headerRowBorderDxfId="10" tableBorderDxfId="9">
  <autoFilter ref="O4:Q18" xr:uid="{00000000-0009-0000-0100-00000E000000}"/>
  <tableColumns count="3">
    <tableColumn id="1" xr3:uid="{00000000-0010-0000-1100-000001000000}" name="Age"/>
    <tableColumn id="2" xr3:uid="{00000000-0010-0000-1100-000002000000}" name="year"/>
    <tableColumn id="3" xr3:uid="{00000000-0010-0000-1100-000003000000}" name="PV" dataDxfId="8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12000000}" name="Table16" displayName="Table16" ref="A4:C45" totalsRowShown="0">
  <autoFilter ref="A4:C45" xr:uid="{00000000-0009-0000-0100-000010000000}"/>
  <tableColumns count="3">
    <tableColumn id="1" xr3:uid="{00000000-0010-0000-1200-000001000000}" name="Age" dataDxfId="7"/>
    <tableColumn id="2" xr3:uid="{00000000-0010-0000-1200-000002000000}" name="year"/>
    <tableColumn id="3" xr3:uid="{00000000-0010-0000-1200-000003000000}" name="PV" dataDxfId="6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0000000-000C-0000-FFFF-FFFF13000000}" name="Table21" displayName="Table21" ref="L4:N32" totalsRowShown="0" headerRowBorderDxfId="5" tableBorderDxfId="4">
  <autoFilter ref="L4:N32" xr:uid="{00000000-0009-0000-0100-000015000000}"/>
  <tableColumns count="3">
    <tableColumn id="1" xr3:uid="{00000000-0010-0000-1300-000001000000}" name="Age" dataDxfId="3"/>
    <tableColumn id="2" xr3:uid="{00000000-0010-0000-1300-000002000000}" name="year"/>
    <tableColumn id="3" xr3:uid="{00000000-0010-0000-1300-000003000000}" name="PV" dataDxfId="2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4000000}" name="Table19" displayName="Table19" ref="A4:C47" totalsRowShown="0">
  <autoFilter ref="A4:C47" xr:uid="{00000000-0009-0000-0100-000013000000}"/>
  <tableColumns count="3">
    <tableColumn id="1" xr3:uid="{00000000-0010-0000-1400-000001000000}" name="Age" dataDxfId="1"/>
    <tableColumn id="2" xr3:uid="{00000000-0010-0000-1400-000002000000}" name="year"/>
    <tableColumn id="3" xr3:uid="{00000000-0010-0000-1400-000003000000}" name="PV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1" dT="2020-05-19T17:12:27.99" personId="{51222A97-5EEB-4F71-A54C-E951045D7013}" id="{DCFC1721-B343-406F-AEC6-AF8C50E5A449}">
    <text>annual cost of work days = annual lost days * average work hours per day * minimum wage per hour</text>
  </threadedComment>
</ThreadedComment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table" Target="../tables/table7.xml"/><Relationship Id="rId4" Type="http://schemas.openxmlformats.org/officeDocument/2006/relationships/table" Target="../tables/table10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3.xml"/><Relationship Id="rId2" Type="http://schemas.openxmlformats.org/officeDocument/2006/relationships/table" Target="../tables/table12.xml"/><Relationship Id="rId1" Type="http://schemas.openxmlformats.org/officeDocument/2006/relationships/table" Target="../tables/table11.xml"/><Relationship Id="rId4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table" Target="../tables/table17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table" Target="../tables/table19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I13" sqref="I13"/>
    </sheetView>
  </sheetViews>
  <sheetFormatPr defaultRowHeight="15"/>
  <cols>
    <col min="1" max="1" width="28" bestFit="1" customWidth="1"/>
    <col min="2" max="2" width="19.85546875" customWidth="1"/>
    <col min="3" max="4" width="17.7109375" customWidth="1"/>
    <col min="5" max="5" width="16.42578125" customWidth="1"/>
    <col min="7" max="7" width="17" customWidth="1"/>
    <col min="8" max="8" width="9.140625" style="1"/>
  </cols>
  <sheetData>
    <row r="1" spans="1:7">
      <c r="B1" t="s">
        <v>158</v>
      </c>
      <c r="C1" t="s">
        <v>159</v>
      </c>
      <c r="D1" t="s">
        <v>160</v>
      </c>
      <c r="E1" t="s">
        <v>161</v>
      </c>
    </row>
    <row r="2" spans="1:7">
      <c r="A2" t="s">
        <v>42</v>
      </c>
      <c r="B2">
        <f>recalls!J34</f>
        <v>1507</v>
      </c>
      <c r="C2">
        <f>'biomarkers(pre-post)'!J34</f>
        <v>1507</v>
      </c>
      <c r="D2">
        <f>'biomarker(6months)'!J34</f>
        <v>1507</v>
      </c>
      <c r="E2">
        <f>'biometrics(1yr)'!J34</f>
        <v>1507</v>
      </c>
      <c r="G2" s="212"/>
    </row>
    <row r="3" spans="1:7">
      <c r="A3" t="s">
        <v>43</v>
      </c>
      <c r="B3" s="212">
        <f>recalls!J35</f>
        <v>4383751.2390706325</v>
      </c>
      <c r="C3" s="213">
        <f>'biomarkers(pre-post)'!J35</f>
        <v>14848052.719508961</v>
      </c>
      <c r="D3" s="212">
        <f>'biomarker(6months)'!J35</f>
        <v>14763148.577697828</v>
      </c>
      <c r="E3" s="213">
        <f>'biometrics(1yr)'!J35</f>
        <v>14303037.982180886</v>
      </c>
      <c r="F3" s="1"/>
      <c r="G3" s="213"/>
    </row>
    <row r="4" spans="1:7">
      <c r="A4" t="s">
        <v>44</v>
      </c>
      <c r="B4" s="212">
        <f>recalls!J36</f>
        <v>2908.9258387993582</v>
      </c>
      <c r="C4" s="213">
        <f>'biomarkers(pre-post)'!J36</f>
        <v>9852.7224416117861</v>
      </c>
      <c r="D4" s="212">
        <f>'biomarker(6months)'!J36</f>
        <v>9796.3825996667747</v>
      </c>
      <c r="E4" s="213">
        <f>'biometrics(1yr)'!J36</f>
        <v>9491.0670087464405</v>
      </c>
      <c r="F4" s="1"/>
      <c r="G4" s="212"/>
    </row>
    <row r="5" spans="1:7">
      <c r="A5" t="s">
        <v>45</v>
      </c>
      <c r="B5" s="212">
        <f>recalls!J37</f>
        <v>361939.45543280855</v>
      </c>
      <c r="C5" s="213">
        <f>'biomarkers(pre-post)'!J37</f>
        <v>1343752.4015300851</v>
      </c>
      <c r="D5" s="212">
        <f>'biomarker(6months)'!J37</f>
        <v>1413484.1783905658</v>
      </c>
      <c r="E5" s="213">
        <f>'biometrics(1yr)'!J37</f>
        <v>1389514.0749582702</v>
      </c>
      <c r="F5" s="1"/>
      <c r="G5" s="213"/>
    </row>
    <row r="6" spans="1:7">
      <c r="A6" t="s">
        <v>46</v>
      </c>
      <c r="B6" s="212">
        <f>recalls!J38</f>
        <v>240.17216684327045</v>
      </c>
      <c r="C6" s="213">
        <f>'biomarkers(pre-post)'!J38</f>
        <v>891.67379000005644</v>
      </c>
      <c r="D6" s="212">
        <f>'biomarker(6months)'!J38</f>
        <v>937.94570563408479</v>
      </c>
      <c r="E6" s="213">
        <f>'biometrics(1yr)'!J38</f>
        <v>922.03986394045796</v>
      </c>
      <c r="F6" s="1"/>
    </row>
    <row r="7" spans="1:7">
      <c r="A7" t="s">
        <v>47</v>
      </c>
      <c r="B7" s="212">
        <f>recalls!J39</f>
        <v>4745690.6945034415</v>
      </c>
      <c r="C7" s="213">
        <f>'biomarkers(pre-post)'!J39</f>
        <v>16191805.121039046</v>
      </c>
      <c r="D7" s="212">
        <f>'biomarker(6months)'!J39</f>
        <v>16176632.756088395</v>
      </c>
      <c r="E7" s="213">
        <f>'biometrics(1yr)'!J39</f>
        <v>15692552.057139156</v>
      </c>
      <c r="F7" s="1"/>
    </row>
    <row r="8" spans="1:7">
      <c r="A8" t="s">
        <v>48</v>
      </c>
      <c r="B8" s="212">
        <f>recalls!J40</f>
        <v>3149.0980056426288</v>
      </c>
      <c r="C8" s="213">
        <f>'biomarkers(pre-post)'!J40</f>
        <v>10744.396231611841</v>
      </c>
      <c r="D8" s="212">
        <f>'biomarker(6months)'!J40</f>
        <v>10734.32830530086</v>
      </c>
      <c r="E8" s="213">
        <f>'biometrics(1yr)'!J40</f>
        <v>10413.106872686898</v>
      </c>
      <c r="F8" s="1"/>
    </row>
    <row r="9" spans="1:7">
      <c r="A9" t="s">
        <v>49</v>
      </c>
      <c r="B9" s="212">
        <f>recalls!J41</f>
        <v>1822135.8199999998</v>
      </c>
      <c r="C9" s="213">
        <f>'biomarkers(pre-post)'!J41</f>
        <v>1822135.8199999998</v>
      </c>
      <c r="D9" s="212">
        <f>'biomarker(6months)'!J41</f>
        <v>1822135.8199999998</v>
      </c>
      <c r="E9" s="213">
        <f>'biometrics(1yr)'!J41</f>
        <v>1822135.8199999998</v>
      </c>
      <c r="F9" s="1"/>
    </row>
    <row r="10" spans="1:7">
      <c r="A10" t="s">
        <v>50</v>
      </c>
      <c r="B10" s="212">
        <f>recalls!J42</f>
        <v>1209.1146781685466</v>
      </c>
      <c r="C10" s="213">
        <f>'biomarkers(pre-post)'!J42</f>
        <v>1209.1146781685466</v>
      </c>
      <c r="D10" s="212">
        <f>'biomarker(6months)'!J42</f>
        <v>1209.1146781685466</v>
      </c>
      <c r="E10" s="213">
        <f>'biometrics(1yr)'!J42</f>
        <v>1209.1146781685466</v>
      </c>
      <c r="F10" s="1"/>
    </row>
    <row r="11" spans="1:7">
      <c r="A11" t="s">
        <v>51</v>
      </c>
      <c r="B11" s="214">
        <f>recalls!J43</f>
        <v>2.6044659472768843</v>
      </c>
      <c r="C11" s="213">
        <f>'biomarkers(pre-post)'!J43</f>
        <v>8.8861680580095541</v>
      </c>
      <c r="D11" s="214">
        <f>'biomarker(6months)'!J43</f>
        <v>8.8778413653535431</v>
      </c>
      <c r="E11" s="213">
        <f>'biometrics(1yr)'!J43</f>
        <v>8.6121747264367805</v>
      </c>
      <c r="F1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71"/>
  <sheetViews>
    <sheetView topLeftCell="I4" zoomScale="80" zoomScaleNormal="80" workbookViewId="0">
      <selection activeCell="R9" sqref="R9"/>
    </sheetView>
  </sheetViews>
  <sheetFormatPr defaultRowHeight="15"/>
  <cols>
    <col min="1" max="1" width="17.28515625" bestFit="1" customWidth="1"/>
    <col min="2" max="3" width="17.28515625" customWidth="1"/>
    <col min="4" max="4" width="18.7109375" style="106" customWidth="1"/>
    <col min="5" max="5" width="18.7109375" style="98" customWidth="1"/>
    <col min="6" max="6" width="4.5703125" style="107" customWidth="1"/>
    <col min="7" max="7" width="4.28515625" style="171" customWidth="1"/>
    <col min="8" max="8" width="17.140625" style="188" bestFit="1" customWidth="1"/>
    <col min="9" max="9" width="45.5703125" style="118" customWidth="1"/>
    <col min="10" max="10" width="20" style="115" bestFit="1" customWidth="1"/>
    <col min="11" max="11" width="16.85546875" style="115" bestFit="1" customWidth="1"/>
    <col min="12" max="12" width="17.7109375" style="115" bestFit="1" customWidth="1"/>
    <col min="13" max="13" width="17.28515625" style="117" bestFit="1" customWidth="1"/>
    <col min="14" max="14" width="16.28515625" bestFit="1" customWidth="1"/>
    <col min="15" max="15" width="19.5703125" bestFit="1" customWidth="1"/>
    <col min="16" max="16" width="18.140625" bestFit="1" customWidth="1"/>
    <col min="17" max="17" width="20.28515625" bestFit="1" customWidth="1"/>
    <col min="18" max="18" width="20.28515625" customWidth="1"/>
    <col min="19" max="19" width="17.28515625" bestFit="1" customWidth="1"/>
    <col min="20" max="20" width="4.28515625" style="240" customWidth="1"/>
    <col min="21" max="21" width="46" style="25" customWidth="1"/>
    <col min="22" max="22" width="16.140625" style="25" bestFit="1" customWidth="1"/>
    <col min="23" max="24" width="12.140625" style="25" bestFit="1" customWidth="1"/>
    <col min="25" max="25" width="12.85546875" style="25" bestFit="1" customWidth="1"/>
    <col min="26" max="26" width="14.28515625" style="25" bestFit="1" customWidth="1"/>
    <col min="27" max="27" width="15" style="25" bestFit="1" customWidth="1"/>
    <col min="28" max="28" width="14.28515625" style="25" bestFit="1" customWidth="1"/>
    <col min="29" max="29" width="17.42578125" style="25" customWidth="1"/>
    <col min="30" max="30" width="14.28515625" style="25" bestFit="1" customWidth="1"/>
  </cols>
  <sheetData>
    <row r="1" spans="1:30" s="146" customFormat="1" ht="15" customHeight="1">
      <c r="A1" s="227">
        <v>52</v>
      </c>
      <c r="B1" s="227"/>
      <c r="C1" s="227"/>
      <c r="D1" s="227"/>
      <c r="E1" s="227"/>
      <c r="G1" s="171"/>
      <c r="H1" s="187"/>
      <c r="I1" s="228"/>
      <c r="J1" s="231"/>
      <c r="K1" s="232"/>
      <c r="L1" s="232"/>
      <c r="M1" s="232"/>
      <c r="N1" s="232"/>
      <c r="O1" s="232"/>
      <c r="P1" s="232"/>
      <c r="Q1" s="232"/>
      <c r="R1" s="232"/>
      <c r="S1" s="233"/>
      <c r="T1" s="240"/>
      <c r="U1" s="28"/>
      <c r="V1" s="203"/>
      <c r="W1" s="203"/>
      <c r="X1" s="203"/>
      <c r="Y1" s="203"/>
      <c r="Z1" s="203"/>
      <c r="AA1" s="203"/>
      <c r="AB1" s="203"/>
      <c r="AC1" s="203"/>
      <c r="AD1" s="203"/>
    </row>
    <row r="2" spans="1:30" s="146" customFormat="1" ht="15" customHeight="1">
      <c r="A2" s="227"/>
      <c r="B2" s="227"/>
      <c r="C2" s="227"/>
      <c r="D2" s="227"/>
      <c r="E2" s="227"/>
      <c r="G2" s="171"/>
      <c r="H2" s="187"/>
      <c r="I2" s="229"/>
      <c r="J2" s="234"/>
      <c r="K2" s="235"/>
      <c r="L2" s="235"/>
      <c r="M2" s="235"/>
      <c r="N2" s="235"/>
      <c r="O2" s="235"/>
      <c r="P2" s="235"/>
      <c r="Q2" s="235"/>
      <c r="R2" s="235"/>
      <c r="S2" s="236"/>
      <c r="T2" s="240"/>
      <c r="U2" s="28"/>
      <c r="V2" s="203"/>
      <c r="W2" s="203"/>
      <c r="X2" s="203"/>
      <c r="Y2" s="203"/>
      <c r="Z2" s="203"/>
      <c r="AA2" s="203"/>
      <c r="AB2" s="203"/>
      <c r="AC2" s="203"/>
      <c r="AD2" s="203"/>
    </row>
    <row r="3" spans="1:30" s="79" customFormat="1" ht="26.25" customHeight="1">
      <c r="A3" s="241" t="s">
        <v>5</v>
      </c>
      <c r="B3" s="241"/>
      <c r="C3" s="241"/>
      <c r="D3" s="241"/>
      <c r="E3" s="241"/>
      <c r="G3" s="171"/>
      <c r="H3" s="187"/>
      <c r="I3" s="229"/>
      <c r="J3" s="237"/>
      <c r="K3" s="238"/>
      <c r="L3" s="238"/>
      <c r="M3" s="238"/>
      <c r="N3" s="238"/>
      <c r="O3" s="238"/>
      <c r="P3" s="238"/>
      <c r="Q3" s="238"/>
      <c r="R3" s="238"/>
      <c r="S3" s="239"/>
      <c r="T3" s="240"/>
      <c r="U3" s="28"/>
      <c r="V3" s="203"/>
      <c r="W3" s="203"/>
      <c r="X3" s="203"/>
      <c r="Y3" s="203"/>
      <c r="Z3" s="203"/>
      <c r="AA3" s="203"/>
      <c r="AB3" s="203"/>
      <c r="AC3" s="203"/>
      <c r="AD3" s="203"/>
    </row>
    <row r="4" spans="1:30" ht="45">
      <c r="A4" s="52" t="s">
        <v>6</v>
      </c>
      <c r="B4" s="52"/>
      <c r="C4" s="52"/>
      <c r="D4" s="130" t="s">
        <v>52</v>
      </c>
      <c r="E4" s="131" t="s">
        <v>10</v>
      </c>
      <c r="H4" s="187"/>
      <c r="I4" s="230"/>
      <c r="J4" s="120" t="s">
        <v>12</v>
      </c>
      <c r="K4" s="121" t="s">
        <v>13</v>
      </c>
      <c r="L4" s="122" t="s">
        <v>14</v>
      </c>
      <c r="M4" s="120" t="s">
        <v>15</v>
      </c>
      <c r="N4" s="120" t="s">
        <v>16</v>
      </c>
      <c r="O4" s="120" t="s">
        <v>17</v>
      </c>
      <c r="P4" s="120" t="s">
        <v>18</v>
      </c>
      <c r="Q4" s="120" t="s">
        <v>19</v>
      </c>
      <c r="R4" s="120"/>
      <c r="S4" s="120" t="s">
        <v>20</v>
      </c>
      <c r="U4" s="28"/>
      <c r="V4" s="189"/>
      <c r="W4" s="190"/>
      <c r="X4" s="191"/>
      <c r="Y4" s="189"/>
      <c r="Z4" s="189"/>
      <c r="AA4" s="189"/>
      <c r="AB4" s="189"/>
      <c r="AC4" s="189"/>
      <c r="AD4" s="189"/>
    </row>
    <row r="5" spans="1:30">
      <c r="A5" s="48" t="s">
        <v>21</v>
      </c>
      <c r="B5" s="48"/>
      <c r="C5" s="48"/>
      <c r="D5" s="206">
        <v>22</v>
      </c>
      <c r="E5" s="129">
        <f>(D5/$A$1)</f>
        <v>0.42307692307692307</v>
      </c>
      <c r="H5" s="112"/>
      <c r="I5" s="185" t="s">
        <v>22</v>
      </c>
      <c r="J5" s="124">
        <f>'biometrics(1yr)'!J5</f>
        <v>1507</v>
      </c>
      <c r="K5" s="125">
        <f>'biometrics(1yr)'!K5</f>
        <v>1507</v>
      </c>
      <c r="L5" s="126">
        <f>'biometrics(1yr)'!L5</f>
        <v>1507</v>
      </c>
      <c r="M5" s="152">
        <f>'biometrics(1yr)'!M5</f>
        <v>1507</v>
      </c>
      <c r="N5" s="206">
        <f>'biometrics(1yr)'!N5</f>
        <v>1507</v>
      </c>
      <c r="O5" s="206">
        <f>'biometrics(1yr)'!O5</f>
        <v>1507</v>
      </c>
      <c r="P5" s="206">
        <f>'biometrics(1yr)'!P5</f>
        <v>1507</v>
      </c>
      <c r="Q5" s="206">
        <f>'biometrics(1yr)'!Q5</f>
        <v>1507</v>
      </c>
      <c r="R5" s="211">
        <f>'biometrics(1yr)'!R5</f>
        <v>1507</v>
      </c>
      <c r="S5" s="206">
        <f>'biometrics(1yr)'!S5</f>
        <v>1507</v>
      </c>
      <c r="U5" s="192"/>
      <c r="V5" s="193"/>
      <c r="W5" s="193"/>
      <c r="X5" s="193"/>
      <c r="Y5" s="193"/>
      <c r="Z5" s="193"/>
      <c r="AA5" s="193"/>
      <c r="AB5" s="193"/>
      <c r="AC5" s="193"/>
      <c r="AD5" s="193"/>
    </row>
    <row r="6" spans="1:30">
      <c r="A6" s="48" t="s">
        <v>23</v>
      </c>
      <c r="B6" s="48"/>
      <c r="C6" s="48"/>
      <c r="D6" s="206">
        <v>22</v>
      </c>
      <c r="E6" s="129">
        <f t="shared" ref="E6:E8" si="0">(D6/$A$1)</f>
        <v>0.42307692307692307</v>
      </c>
      <c r="H6" s="112"/>
      <c r="I6" s="185" t="s">
        <v>24</v>
      </c>
      <c r="J6" s="127">
        <f>'biometrics(1yr)'!J6</f>
        <v>0.08</v>
      </c>
      <c r="K6" s="127">
        <f>'biometrics(1yr)'!K6</f>
        <v>0.25800000000000001</v>
      </c>
      <c r="L6" s="127">
        <f>'biometrics(1yr)'!L6</f>
        <v>8.1000000000000003E-2</v>
      </c>
      <c r="M6" s="127">
        <f>'biometrics(1yr)'!M6</f>
        <v>0.29299999999999998</v>
      </c>
      <c r="N6" s="127">
        <f>'biometrics(1yr)'!N6</f>
        <v>0.10299999999999999</v>
      </c>
      <c r="O6" s="127">
        <f>'biometrics(1yr)'!O6</f>
        <v>0.28000000000000003</v>
      </c>
      <c r="P6" s="127">
        <f>'biometrics(1yr)'!P6</f>
        <v>0.38</v>
      </c>
      <c r="Q6" s="127">
        <f>'biometrics(1yr)'!Q6</f>
        <v>0.16700000000000001</v>
      </c>
      <c r="R6" s="127">
        <f>'biometrics(1yr)'!R6</f>
        <v>8.0199999999999994E-2</v>
      </c>
      <c r="S6" s="127">
        <f>'biometrics(1yr)'!S6</f>
        <v>1</v>
      </c>
      <c r="U6" s="192"/>
      <c r="V6" s="194"/>
      <c r="W6" s="194"/>
      <c r="X6" s="194"/>
      <c r="Y6" s="194"/>
      <c r="Z6" s="194"/>
      <c r="AA6" s="194"/>
      <c r="AB6" s="194"/>
      <c r="AC6" s="194"/>
      <c r="AD6" s="194"/>
    </row>
    <row r="7" spans="1:30">
      <c r="A7" s="48" t="s">
        <v>25</v>
      </c>
      <c r="B7" s="48"/>
      <c r="C7" s="48"/>
      <c r="D7" s="206">
        <v>27</v>
      </c>
      <c r="E7" s="129">
        <f t="shared" si="0"/>
        <v>0.51923076923076927</v>
      </c>
      <c r="H7" s="112"/>
      <c r="I7" s="185" t="s">
        <v>156</v>
      </c>
      <c r="J7" s="128">
        <f>'biometrics(1yr)'!J7</f>
        <v>0.3</v>
      </c>
      <c r="K7" s="128">
        <f>'biometrics(1yr)'!K7</f>
        <v>0.81</v>
      </c>
      <c r="L7" s="128">
        <f>'biometrics(1yr)'!L7</f>
        <v>0.64</v>
      </c>
      <c r="M7" s="128">
        <f>'biometrics(1yr)'!M7</f>
        <v>0.124</v>
      </c>
      <c r="N7" s="128">
        <f>'biometrics(1yr)'!N7</f>
        <v>0.47826086956521741</v>
      </c>
      <c r="O7" s="128">
        <f>'biometrics(1yr)'!O7</f>
        <v>0.66</v>
      </c>
      <c r="P7" s="128">
        <f>'biometrics(1yr)'!P7</f>
        <v>1</v>
      </c>
      <c r="Q7" s="128">
        <f>'biometrics(1yr)'!Q7</f>
        <v>0.5</v>
      </c>
      <c r="R7" s="128">
        <f>'biometrics(1yr)'!R7</f>
        <v>0.5</v>
      </c>
      <c r="S7" s="128">
        <f>'biometrics(1yr)'!S7</f>
        <v>0.11</v>
      </c>
      <c r="U7" s="192"/>
      <c r="V7" s="194"/>
      <c r="W7" s="194"/>
      <c r="X7" s="194"/>
      <c r="Y7" s="194"/>
      <c r="Z7" s="194"/>
      <c r="AA7" s="194"/>
      <c r="AB7" s="194"/>
      <c r="AC7" s="194"/>
      <c r="AD7" s="194"/>
    </row>
    <row r="8" spans="1:30" ht="30">
      <c r="A8" s="48" t="s">
        <v>15</v>
      </c>
      <c r="B8" s="48"/>
      <c r="C8" s="48"/>
      <c r="D8" s="206">
        <v>16</v>
      </c>
      <c r="E8" s="129">
        <f t="shared" si="0"/>
        <v>0.30769230769230771</v>
      </c>
      <c r="H8" s="112"/>
      <c r="I8" s="185" t="s">
        <v>157</v>
      </c>
      <c r="J8" s="129">
        <f>E5</f>
        <v>0.42307692307692307</v>
      </c>
      <c r="K8" s="129">
        <f>E6</f>
        <v>0.42307692307692307</v>
      </c>
      <c r="L8" s="129">
        <f>E7</f>
        <v>0.51923076923076927</v>
      </c>
      <c r="M8" s="129">
        <f>E8</f>
        <v>0.30769230769230771</v>
      </c>
      <c r="N8" s="153">
        <f>E12</f>
        <v>3.8461538461538464E-2</v>
      </c>
      <c r="O8" s="153">
        <f>E13</f>
        <v>0.30769230769230771</v>
      </c>
      <c r="P8" s="153">
        <f>E14</f>
        <v>0.42307692307692307</v>
      </c>
      <c r="Q8" s="153">
        <f>E15</f>
        <v>0.19230769230769232</v>
      </c>
      <c r="R8" s="153">
        <v>0</v>
      </c>
      <c r="S8" s="153">
        <f>E17</f>
        <v>0.21153846153846154</v>
      </c>
      <c r="U8" s="192"/>
      <c r="V8" s="195"/>
      <c r="W8" s="195"/>
      <c r="X8" s="195"/>
      <c r="Y8" s="195"/>
      <c r="Z8" s="195"/>
      <c r="AA8" s="195"/>
      <c r="AB8" s="195"/>
      <c r="AC8" s="195"/>
      <c r="AD8" s="195"/>
    </row>
    <row r="9" spans="1:30" ht="30">
      <c r="A9" s="242" t="s">
        <v>28</v>
      </c>
      <c r="B9" s="242"/>
      <c r="C9" s="242"/>
      <c r="D9" s="242"/>
      <c r="E9" s="242"/>
      <c r="I9" s="185" t="s">
        <v>29</v>
      </c>
      <c r="J9" s="164">
        <f t="shared" ref="J9:S9" si="1">J5*J6*J7*J8</f>
        <v>15.301846153846153</v>
      </c>
      <c r="K9" s="164">
        <f t="shared" si="1"/>
        <v>133.24082538461539</v>
      </c>
      <c r="L9" s="165">
        <f t="shared" si="1"/>
        <v>40.563803076923087</v>
      </c>
      <c r="M9" s="166">
        <f t="shared" si="1"/>
        <v>16.846868923076926</v>
      </c>
      <c r="N9" s="164">
        <f t="shared" si="1"/>
        <v>2.8552357859531776</v>
      </c>
      <c r="O9" s="164">
        <f t="shared" si="1"/>
        <v>85.690338461538474</v>
      </c>
      <c r="P9" s="164">
        <f t="shared" si="1"/>
        <v>242.27923076923076</v>
      </c>
      <c r="Q9" s="164">
        <f t="shared" si="1"/>
        <v>24.19894230769231</v>
      </c>
      <c r="R9" s="164">
        <f>R5*R6*R7*R8</f>
        <v>0</v>
      </c>
      <c r="S9" s="164">
        <f t="shared" si="1"/>
        <v>35.066730769230773</v>
      </c>
      <c r="U9" s="192"/>
      <c r="V9" s="196"/>
      <c r="W9" s="196"/>
      <c r="X9" s="197"/>
      <c r="Y9" s="196"/>
      <c r="Z9" s="196"/>
      <c r="AA9" s="196"/>
      <c r="AB9" s="196"/>
      <c r="AC9" s="196"/>
      <c r="AD9" s="196"/>
    </row>
    <row r="10" spans="1:30">
      <c r="A10" s="242"/>
      <c r="B10" s="242"/>
      <c r="C10" s="242"/>
      <c r="D10" s="242"/>
      <c r="E10" s="242"/>
      <c r="I10" s="185" t="s">
        <v>30</v>
      </c>
      <c r="J10" s="154">
        <f>'Colorectal Benefit'!$F$16</f>
        <v>17293.082565880046</v>
      </c>
      <c r="K10" s="154">
        <f>'Heart Disease Benefit'!$G$16</f>
        <v>5775.2181929014514</v>
      </c>
      <c r="L10" s="154">
        <f>'Stroke Benefits'!$G$18</f>
        <v>26003.011937672796</v>
      </c>
      <c r="M10" s="154">
        <f>'Hypertension Benefit'!$G$29</f>
        <v>1700.9371327253966</v>
      </c>
      <c r="N10" s="154">
        <f>osteoporosis!$C$35</f>
        <v>85670.525065513924</v>
      </c>
      <c r="O10" s="154">
        <f>'Type 2 Diabeties'!$C$31</f>
        <v>50777.185201500433</v>
      </c>
      <c r="P10" s="154">
        <f>Obesity!$C$45</f>
        <v>30080.075037511851</v>
      </c>
      <c r="Q10" s="154">
        <f>FIGURES!$F$14</f>
        <v>31322.097401202354</v>
      </c>
      <c r="R10" s="154">
        <f>'biometrics(1yr)'!R10</f>
        <v>21799.185582999999</v>
      </c>
      <c r="S10" s="154">
        <f>'Data &amp; PV'!$G$12</f>
        <v>2539.229198</v>
      </c>
      <c r="U10" s="192"/>
      <c r="V10" s="198"/>
      <c r="W10" s="198"/>
      <c r="X10" s="198"/>
      <c r="Y10" s="198"/>
      <c r="Z10" s="198"/>
      <c r="AA10" s="198"/>
      <c r="AB10" s="198"/>
      <c r="AC10" s="198"/>
      <c r="AD10" s="198"/>
    </row>
    <row r="11" spans="1:30">
      <c r="A11" s="242"/>
      <c r="B11" s="242"/>
      <c r="C11" s="242"/>
      <c r="D11" s="242"/>
      <c r="E11" s="242"/>
      <c r="I11" s="185" t="s">
        <v>31</v>
      </c>
      <c r="J11" s="243">
        <f t="shared" ref="J11:S11" si="2">J9*J10</f>
        <v>264616.08894885553</v>
      </c>
      <c r="K11" s="243">
        <f t="shared" si="2"/>
        <v>769494.83879843634</v>
      </c>
      <c r="L11" s="245">
        <f t="shared" si="2"/>
        <v>1054781.0556466396</v>
      </c>
      <c r="M11" s="247">
        <f t="shared" si="2"/>
        <v>28655.464921419058</v>
      </c>
      <c r="N11" s="243">
        <f t="shared" si="2"/>
        <v>244609.54896845407</v>
      </c>
      <c r="O11" s="243">
        <f t="shared" si="2"/>
        <v>4351114.1860407945</v>
      </c>
      <c r="P11" s="243">
        <f t="shared" si="2"/>
        <v>7287777.4415691113</v>
      </c>
      <c r="Q11" s="243">
        <f t="shared" si="2"/>
        <v>757961.62796761503</v>
      </c>
      <c r="R11" s="225">
        <f>R9*R10</f>
        <v>0</v>
      </c>
      <c r="S11" s="243">
        <f t="shared" si="2"/>
        <v>89042.466647635782</v>
      </c>
      <c r="U11" s="28"/>
      <c r="V11" s="201"/>
      <c r="W11" s="201"/>
      <c r="X11" s="201"/>
      <c r="Y11" s="201"/>
      <c r="Z11" s="201"/>
      <c r="AA11" s="201"/>
      <c r="AB11" s="201"/>
      <c r="AC11" s="201"/>
      <c r="AD11" s="201"/>
    </row>
    <row r="12" spans="1:30">
      <c r="A12" s="48" t="s">
        <v>16</v>
      </c>
      <c r="B12" s="48"/>
      <c r="C12" s="48"/>
      <c r="D12" s="206">
        <v>2</v>
      </c>
      <c r="E12" s="129">
        <f>(D12/$A$1)</f>
        <v>3.8461538461538464E-2</v>
      </c>
      <c r="H12" s="112"/>
      <c r="I12" s="185"/>
      <c r="J12" s="244"/>
      <c r="K12" s="244"/>
      <c r="L12" s="246"/>
      <c r="M12" s="248"/>
      <c r="N12" s="242"/>
      <c r="O12" s="242"/>
      <c r="P12" s="242"/>
      <c r="Q12" s="242"/>
      <c r="R12" s="226"/>
      <c r="S12" s="242"/>
      <c r="U12" s="28"/>
      <c r="V12" s="202"/>
      <c r="W12" s="202"/>
      <c r="X12" s="202"/>
      <c r="Y12" s="202"/>
      <c r="Z12" s="202"/>
      <c r="AA12" s="202"/>
      <c r="AB12" s="202"/>
      <c r="AC12" s="202"/>
      <c r="AD12" s="202"/>
    </row>
    <row r="13" spans="1:30" s="135" customFormat="1">
      <c r="A13" s="48" t="s">
        <v>32</v>
      </c>
      <c r="B13" s="48"/>
      <c r="C13" s="48"/>
      <c r="D13" s="206">
        <v>16</v>
      </c>
      <c r="E13" s="129">
        <f t="shared" ref="E13:E15" si="3">(D13/$A$1)</f>
        <v>0.30769230769230771</v>
      </c>
      <c r="F13" s="134"/>
      <c r="G13" s="171"/>
      <c r="H13" s="112"/>
      <c r="I13" s="185" t="s">
        <v>33</v>
      </c>
      <c r="J13" s="155">
        <f>SUM(J11:S12)</f>
        <v>14848052.719508961</v>
      </c>
      <c r="K13" s="155"/>
      <c r="L13" s="155"/>
      <c r="M13" s="155"/>
      <c r="N13" s="155"/>
      <c r="O13" s="155"/>
      <c r="P13" s="155"/>
      <c r="Q13" s="155"/>
      <c r="R13" s="155"/>
      <c r="S13" s="204"/>
      <c r="T13" s="240"/>
      <c r="U13" s="189"/>
      <c r="V13" s="199"/>
      <c r="W13" s="199"/>
      <c r="X13" s="199"/>
      <c r="Y13" s="199"/>
      <c r="Z13" s="199"/>
      <c r="AA13" s="199"/>
      <c r="AB13" s="199"/>
      <c r="AC13" s="199"/>
      <c r="AD13" s="199"/>
    </row>
    <row r="14" spans="1:30">
      <c r="A14" s="48" t="s">
        <v>18</v>
      </c>
      <c r="B14" s="48"/>
      <c r="C14" s="48"/>
      <c r="D14" s="206">
        <v>22</v>
      </c>
      <c r="E14" s="129">
        <f t="shared" si="3"/>
        <v>0.42307692307692307</v>
      </c>
      <c r="H14" s="112"/>
      <c r="I14" s="116"/>
      <c r="J14" s="112"/>
      <c r="K14" s="113"/>
      <c r="L14" s="114"/>
      <c r="M14" s="111"/>
    </row>
    <row r="15" spans="1:30">
      <c r="A15" s="48" t="s">
        <v>34</v>
      </c>
      <c r="B15" s="48"/>
      <c r="C15" s="48"/>
      <c r="D15" s="206">
        <v>10</v>
      </c>
      <c r="E15" s="129">
        <f t="shared" si="3"/>
        <v>0.19230769230769232</v>
      </c>
      <c r="H15" s="112"/>
      <c r="I15" s="116"/>
      <c r="J15" s="112"/>
      <c r="K15" s="113"/>
      <c r="L15" s="114"/>
      <c r="M15" s="111"/>
      <c r="N15" s="79"/>
    </row>
    <row r="16" spans="1:30" ht="22.5" customHeight="1">
      <c r="A16" s="249" t="s">
        <v>35</v>
      </c>
      <c r="B16" s="249"/>
      <c r="C16" s="249"/>
      <c r="D16" s="249"/>
      <c r="E16" s="249"/>
      <c r="I16" s="228"/>
      <c r="J16" s="231"/>
      <c r="K16" s="232"/>
      <c r="L16" s="232"/>
      <c r="M16" s="232"/>
      <c r="N16" s="232"/>
      <c r="O16" s="232"/>
      <c r="P16" s="232"/>
      <c r="Q16" s="232"/>
      <c r="R16" s="232"/>
      <c r="S16" s="233"/>
      <c r="U16" s="28"/>
      <c r="V16" s="203"/>
      <c r="W16" s="203"/>
      <c r="X16" s="203"/>
      <c r="Y16" s="203"/>
      <c r="Z16" s="203"/>
      <c r="AA16" s="203"/>
      <c r="AB16" s="203"/>
      <c r="AC16" s="203"/>
      <c r="AD16" s="203"/>
    </row>
    <row r="17" spans="1:30" ht="15" customHeight="1">
      <c r="A17" s="48" t="s">
        <v>20</v>
      </c>
      <c r="B17" s="48">
        <v>12</v>
      </c>
      <c r="C17" s="48">
        <v>17</v>
      </c>
      <c r="D17" s="206">
        <v>11</v>
      </c>
      <c r="E17" s="129">
        <f>(D17/$A$1)</f>
        <v>0.21153846153846154</v>
      </c>
      <c r="H17" s="112"/>
      <c r="I17" s="229"/>
      <c r="J17" s="234"/>
      <c r="K17" s="235"/>
      <c r="L17" s="235"/>
      <c r="M17" s="235"/>
      <c r="N17" s="235"/>
      <c r="O17" s="235"/>
      <c r="P17" s="235"/>
      <c r="Q17" s="235"/>
      <c r="R17" s="235"/>
      <c r="S17" s="236"/>
      <c r="U17" s="28"/>
      <c r="V17" s="203"/>
      <c r="W17" s="203"/>
      <c r="X17" s="203"/>
      <c r="Y17" s="203"/>
      <c r="Z17" s="203"/>
      <c r="AA17" s="203"/>
      <c r="AB17" s="203"/>
      <c r="AC17" s="203"/>
      <c r="AD17" s="203"/>
    </row>
    <row r="18" spans="1:30" s="79" customFormat="1" ht="15" customHeight="1">
      <c r="A18" s="205"/>
      <c r="B18" s="205"/>
      <c r="C18" s="219"/>
      <c r="D18" s="221">
        <v>2</v>
      </c>
      <c r="E18" s="222">
        <f>(D18/$A$1)</f>
        <v>3.8461538461538464E-2</v>
      </c>
      <c r="G18" s="171"/>
      <c r="H18" s="188"/>
      <c r="I18" s="229"/>
      <c r="J18" s="237"/>
      <c r="K18" s="238"/>
      <c r="L18" s="238"/>
      <c r="M18" s="238"/>
      <c r="N18" s="238"/>
      <c r="O18" s="238"/>
      <c r="P18" s="238"/>
      <c r="Q18" s="238"/>
      <c r="R18" s="238"/>
      <c r="S18" s="239"/>
      <c r="T18" s="240"/>
      <c r="U18" s="28"/>
      <c r="V18" s="203"/>
      <c r="W18" s="203"/>
      <c r="X18" s="203"/>
      <c r="Y18" s="203"/>
      <c r="Z18" s="203"/>
      <c r="AA18" s="203"/>
      <c r="AB18" s="203"/>
      <c r="AC18" s="203"/>
      <c r="AD18" s="203"/>
    </row>
    <row r="19" spans="1:30" s="79" customFormat="1" ht="30" customHeight="1">
      <c r="C19" s="220"/>
      <c r="G19" s="171"/>
      <c r="H19" s="188"/>
      <c r="I19" s="230"/>
      <c r="J19" s="120" t="s">
        <v>12</v>
      </c>
      <c r="K19" s="121" t="s">
        <v>13</v>
      </c>
      <c r="L19" s="122" t="s">
        <v>14</v>
      </c>
      <c r="M19" s="120" t="s">
        <v>15</v>
      </c>
      <c r="N19" s="120" t="s">
        <v>16</v>
      </c>
      <c r="O19" s="120" t="s">
        <v>17</v>
      </c>
      <c r="P19" s="120" t="s">
        <v>18</v>
      </c>
      <c r="Q19" s="120" t="s">
        <v>19</v>
      </c>
      <c r="R19" s="120" t="s">
        <v>83</v>
      </c>
      <c r="S19" s="120" t="s">
        <v>20</v>
      </c>
      <c r="T19" s="240"/>
      <c r="U19" s="28"/>
      <c r="V19" s="189"/>
      <c r="W19" s="190"/>
      <c r="X19" s="191"/>
      <c r="Y19" s="189"/>
      <c r="Z19" s="189"/>
      <c r="AA19" s="189"/>
      <c r="AB19" s="189"/>
      <c r="AC19" s="189"/>
      <c r="AD19" s="189"/>
    </row>
    <row r="20" spans="1:30" s="79" customFormat="1" ht="30" customHeight="1">
      <c r="C20" s="220"/>
      <c r="G20" s="171"/>
      <c r="H20" s="188"/>
      <c r="I20" s="185" t="s">
        <v>22</v>
      </c>
      <c r="J20" s="124">
        <f t="shared" ref="J20:S20" si="4">J5</f>
        <v>1507</v>
      </c>
      <c r="K20" s="125">
        <f t="shared" si="4"/>
        <v>1507</v>
      </c>
      <c r="L20" s="126">
        <f t="shared" si="4"/>
        <v>1507</v>
      </c>
      <c r="M20" s="152">
        <f t="shared" si="4"/>
        <v>1507</v>
      </c>
      <c r="N20" s="206">
        <f t="shared" si="4"/>
        <v>1507</v>
      </c>
      <c r="O20" s="206">
        <f t="shared" si="4"/>
        <v>1507</v>
      </c>
      <c r="P20" s="206">
        <f t="shared" si="4"/>
        <v>1507</v>
      </c>
      <c r="Q20" s="206">
        <f t="shared" si="4"/>
        <v>1507</v>
      </c>
      <c r="R20" s="211">
        <f t="shared" si="4"/>
        <v>1507</v>
      </c>
      <c r="S20" s="206">
        <f t="shared" si="4"/>
        <v>1507</v>
      </c>
      <c r="T20" s="240"/>
      <c r="U20" s="192"/>
      <c r="V20" s="193"/>
      <c r="W20" s="193"/>
      <c r="X20" s="193"/>
      <c r="Y20" s="193"/>
      <c r="Z20" s="193"/>
      <c r="AA20" s="193"/>
      <c r="AB20" s="193"/>
      <c r="AC20" s="193"/>
      <c r="AD20" s="193"/>
    </row>
    <row r="21" spans="1:30" s="79" customFormat="1" ht="30" customHeight="1">
      <c r="C21" s="220"/>
      <c r="G21" s="171"/>
      <c r="H21" s="188"/>
      <c r="I21" s="185" t="s">
        <v>24</v>
      </c>
      <c r="J21" s="127">
        <f t="shared" ref="J21:S21" si="5">J6</f>
        <v>0.08</v>
      </c>
      <c r="K21" s="127">
        <f t="shared" si="5"/>
        <v>0.25800000000000001</v>
      </c>
      <c r="L21" s="127">
        <f t="shared" si="5"/>
        <v>8.1000000000000003E-2</v>
      </c>
      <c r="M21" s="127">
        <f t="shared" si="5"/>
        <v>0.29299999999999998</v>
      </c>
      <c r="N21" s="127">
        <f t="shared" si="5"/>
        <v>0.10299999999999999</v>
      </c>
      <c r="O21" s="127">
        <f t="shared" si="5"/>
        <v>0.28000000000000003</v>
      </c>
      <c r="P21" s="127">
        <f t="shared" si="5"/>
        <v>0.38</v>
      </c>
      <c r="Q21" s="127">
        <f t="shared" si="5"/>
        <v>0.16700000000000001</v>
      </c>
      <c r="R21" s="127">
        <f t="shared" si="5"/>
        <v>8.0199999999999994E-2</v>
      </c>
      <c r="S21" s="127">
        <f t="shared" si="5"/>
        <v>1</v>
      </c>
      <c r="T21" s="240"/>
      <c r="U21" s="192"/>
      <c r="V21" s="194"/>
      <c r="W21" s="194"/>
      <c r="X21" s="194"/>
      <c r="Y21" s="194"/>
      <c r="Z21" s="194"/>
      <c r="AA21" s="194"/>
      <c r="AB21" s="194"/>
      <c r="AC21" s="194"/>
      <c r="AD21" s="194"/>
    </row>
    <row r="22" spans="1:30" s="79" customFormat="1" ht="30" customHeight="1">
      <c r="C22" s="220"/>
      <c r="G22" s="171"/>
      <c r="H22" s="188"/>
      <c r="I22" s="185" t="s">
        <v>156</v>
      </c>
      <c r="J22" s="128">
        <f t="shared" ref="J22:S22" si="6">J7</f>
        <v>0.3</v>
      </c>
      <c r="K22" s="128">
        <f t="shared" si="6"/>
        <v>0.81</v>
      </c>
      <c r="L22" s="128">
        <f t="shared" si="6"/>
        <v>0.64</v>
      </c>
      <c r="M22" s="128">
        <f t="shared" si="6"/>
        <v>0.124</v>
      </c>
      <c r="N22" s="128">
        <f t="shared" si="6"/>
        <v>0.47826086956521741</v>
      </c>
      <c r="O22" s="128">
        <f t="shared" si="6"/>
        <v>0.66</v>
      </c>
      <c r="P22" s="128">
        <f t="shared" si="6"/>
        <v>1</v>
      </c>
      <c r="Q22" s="128">
        <f t="shared" si="6"/>
        <v>0.5</v>
      </c>
      <c r="R22" s="128">
        <f t="shared" si="6"/>
        <v>0.5</v>
      </c>
      <c r="S22" s="128">
        <f t="shared" si="6"/>
        <v>0.11</v>
      </c>
      <c r="T22" s="240"/>
      <c r="U22" s="192"/>
      <c r="V22" s="194"/>
      <c r="W22" s="194"/>
      <c r="X22" s="194"/>
      <c r="Y22" s="194"/>
      <c r="Z22" s="194"/>
      <c r="AA22" s="194"/>
      <c r="AB22" s="194"/>
      <c r="AC22" s="194"/>
      <c r="AD22" s="194"/>
    </row>
    <row r="23" spans="1:30" s="79" customFormat="1" ht="30" customHeight="1">
      <c r="C23" s="220"/>
      <c r="G23" s="171"/>
      <c r="H23" s="188"/>
      <c r="I23" s="185" t="s">
        <v>157</v>
      </c>
      <c r="J23" s="129">
        <f t="shared" ref="J23:S23" si="7">J8</f>
        <v>0.42307692307692307</v>
      </c>
      <c r="K23" s="129">
        <f t="shared" si="7"/>
        <v>0.42307692307692307</v>
      </c>
      <c r="L23" s="129">
        <f t="shared" si="7"/>
        <v>0.51923076923076927</v>
      </c>
      <c r="M23" s="129">
        <f t="shared" si="7"/>
        <v>0.30769230769230771</v>
      </c>
      <c r="N23" s="153">
        <f t="shared" si="7"/>
        <v>3.8461538461538464E-2</v>
      </c>
      <c r="O23" s="153">
        <f t="shared" si="7"/>
        <v>0.30769230769230771</v>
      </c>
      <c r="P23" s="153">
        <f t="shared" si="7"/>
        <v>0.42307692307692307</v>
      </c>
      <c r="Q23" s="153">
        <f t="shared" si="7"/>
        <v>0.19230769230769232</v>
      </c>
      <c r="R23" s="153">
        <f t="shared" si="7"/>
        <v>0</v>
      </c>
      <c r="S23" s="153">
        <f t="shared" si="7"/>
        <v>0.21153846153846154</v>
      </c>
      <c r="T23" s="240"/>
      <c r="U23" s="192"/>
      <c r="V23" s="195"/>
      <c r="W23" s="195"/>
      <c r="X23" s="195"/>
      <c r="Y23" s="195"/>
      <c r="Z23" s="195"/>
      <c r="AA23" s="195"/>
      <c r="AB23" s="195"/>
      <c r="AC23" s="195"/>
      <c r="AD23" s="195"/>
    </row>
    <row r="24" spans="1:30" s="79" customFormat="1" ht="30" customHeight="1">
      <c r="C24" s="220"/>
      <c r="G24" s="171"/>
      <c r="H24" s="188"/>
      <c r="I24" s="185" t="s">
        <v>29</v>
      </c>
      <c r="J24" s="164">
        <f t="shared" ref="J24:S24" si="8">J9</f>
        <v>15.301846153846153</v>
      </c>
      <c r="K24" s="164">
        <f t="shared" si="8"/>
        <v>133.24082538461539</v>
      </c>
      <c r="L24" s="165">
        <f t="shared" si="8"/>
        <v>40.563803076923087</v>
      </c>
      <c r="M24" s="166">
        <f t="shared" si="8"/>
        <v>16.846868923076926</v>
      </c>
      <c r="N24" s="164">
        <f t="shared" si="8"/>
        <v>2.8552357859531776</v>
      </c>
      <c r="O24" s="164">
        <f t="shared" si="8"/>
        <v>85.690338461538474</v>
      </c>
      <c r="P24" s="164">
        <f t="shared" si="8"/>
        <v>242.27923076923076</v>
      </c>
      <c r="Q24" s="164">
        <f t="shared" si="8"/>
        <v>24.19894230769231</v>
      </c>
      <c r="R24" s="164">
        <f t="shared" si="8"/>
        <v>0</v>
      </c>
      <c r="S24" s="164">
        <f t="shared" si="8"/>
        <v>35.066730769230773</v>
      </c>
      <c r="T24" s="240"/>
      <c r="U24" s="192"/>
      <c r="V24" s="196"/>
      <c r="W24" s="196"/>
      <c r="X24" s="197"/>
      <c r="Y24" s="196"/>
      <c r="Z24" s="196"/>
      <c r="AA24" s="196"/>
      <c r="AB24" s="196"/>
      <c r="AC24" s="196"/>
      <c r="AD24" s="196"/>
    </row>
    <row r="25" spans="1:30" s="79" customFormat="1" ht="30" customHeight="1">
      <c r="C25" s="220"/>
      <c r="G25" s="171"/>
      <c r="H25" s="188"/>
      <c r="I25" s="185" t="s">
        <v>39</v>
      </c>
      <c r="J25" s="155">
        <f>'Colorectal Benefit'!$R$15</f>
        <v>1441.3781090124412</v>
      </c>
      <c r="K25" s="155">
        <f>'Heart Disease Benefit'!$S$16</f>
        <v>1332.6418077395683</v>
      </c>
      <c r="L25" s="155">
        <f>'Stroke Benefits'!$U$18</f>
        <v>4265.2771383769777</v>
      </c>
      <c r="M25" s="155">
        <f>'Hypertension Benefit'!$S$29</f>
        <v>4903.9041707009201</v>
      </c>
      <c r="N25" s="155">
        <f>osteoporosis!$M$22</f>
        <v>2333.4852399999468</v>
      </c>
      <c r="O25" s="155">
        <f>'Type 2 Diabeties'!$Q$18</f>
        <v>2349.6673112603353</v>
      </c>
      <c r="P25" s="155">
        <f>Obesity!$N$32</f>
        <v>2679.2700404212778</v>
      </c>
      <c r="Q25" s="155">
        <f>FIGURES!$G$14</f>
        <v>1296.1370713710346</v>
      </c>
      <c r="R25" s="155">
        <v>0</v>
      </c>
      <c r="S25" s="204">
        <v>0</v>
      </c>
      <c r="T25" s="240"/>
      <c r="U25" s="192"/>
      <c r="V25" s="200"/>
      <c r="W25" s="200"/>
      <c r="X25" s="200"/>
      <c r="Y25" s="200"/>
      <c r="Z25" s="200"/>
      <c r="AA25" s="200"/>
      <c r="AB25" s="200"/>
      <c r="AC25" s="200"/>
      <c r="AD25" s="184"/>
    </row>
    <row r="26" spans="1:30" s="79" customFormat="1">
      <c r="C26" s="220"/>
      <c r="G26" s="171"/>
      <c r="H26" s="188"/>
      <c r="I26" s="256" t="s">
        <v>40</v>
      </c>
      <c r="J26" s="225">
        <f t="shared" ref="J26:S26" si="9">J24*J25</f>
        <v>22055.746073630064</v>
      </c>
      <c r="K26" s="225">
        <f t="shared" si="9"/>
        <v>177562.29440526603</v>
      </c>
      <c r="L26" s="257">
        <f t="shared" si="9"/>
        <v>173015.86190962576</v>
      </c>
      <c r="M26" s="259">
        <f t="shared" si="9"/>
        <v>82615.430775128654</v>
      </c>
      <c r="N26" s="225">
        <f t="shared" si="9"/>
        <v>6662.6505632413873</v>
      </c>
      <c r="O26" s="225">
        <f t="shared" si="9"/>
        <v>201343.7871739112</v>
      </c>
      <c r="P26" s="225">
        <f t="shared" si="9"/>
        <v>649131.484416313</v>
      </c>
      <c r="Q26" s="225">
        <f t="shared" si="9"/>
        <v>31365.146212968935</v>
      </c>
      <c r="R26" s="225">
        <f>R24*R25</f>
        <v>0</v>
      </c>
      <c r="S26" s="225">
        <f t="shared" si="9"/>
        <v>0</v>
      </c>
      <c r="T26" s="240"/>
      <c r="U26" s="28"/>
      <c r="V26" s="201"/>
      <c r="W26" s="201"/>
      <c r="X26" s="201"/>
      <c r="Y26" s="201"/>
      <c r="Z26" s="201"/>
      <c r="AA26" s="201"/>
      <c r="AB26" s="201"/>
      <c r="AC26" s="201"/>
      <c r="AD26" s="201"/>
    </row>
    <row r="27" spans="1:30" s="79" customFormat="1">
      <c r="G27" s="171"/>
      <c r="H27" s="188"/>
      <c r="I27" s="256"/>
      <c r="J27" s="226"/>
      <c r="K27" s="226"/>
      <c r="L27" s="258"/>
      <c r="M27" s="260"/>
      <c r="N27" s="226"/>
      <c r="O27" s="226"/>
      <c r="P27" s="226"/>
      <c r="Q27" s="226"/>
      <c r="R27" s="226"/>
      <c r="S27" s="226"/>
      <c r="T27" s="240"/>
      <c r="U27" s="28"/>
      <c r="V27" s="202"/>
      <c r="W27" s="202"/>
      <c r="X27" s="202"/>
      <c r="Y27" s="202"/>
      <c r="Z27" s="202"/>
      <c r="AA27" s="202"/>
      <c r="AB27" s="202"/>
      <c r="AC27" s="202"/>
      <c r="AD27" s="202"/>
    </row>
    <row r="28" spans="1:30" s="79" customFormat="1">
      <c r="G28" s="171"/>
      <c r="H28" s="188"/>
      <c r="I28" s="186" t="s">
        <v>41</v>
      </c>
      <c r="J28" s="155">
        <f>SUM(J26:S27)</f>
        <v>1343752.4015300851</v>
      </c>
      <c r="K28" s="155"/>
      <c r="L28" s="155"/>
      <c r="M28" s="155"/>
      <c r="N28" s="155"/>
      <c r="O28" s="155"/>
      <c r="P28" s="155"/>
      <c r="Q28" s="155"/>
      <c r="R28" s="155"/>
      <c r="S28" s="204"/>
      <c r="T28" s="240"/>
      <c r="U28" s="189"/>
      <c r="V28" s="199"/>
      <c r="W28" s="199"/>
      <c r="X28" s="199"/>
      <c r="Y28" s="199"/>
      <c r="Z28" s="199"/>
      <c r="AA28" s="199"/>
      <c r="AB28" s="199"/>
      <c r="AC28" s="199"/>
      <c r="AD28" s="199"/>
    </row>
    <row r="29" spans="1:30" s="79" customFormat="1">
      <c r="G29" s="171"/>
      <c r="H29" s="188"/>
      <c r="I29" s="145"/>
      <c r="J29" s="111"/>
      <c r="K29" s="111"/>
      <c r="L29" s="111"/>
      <c r="M29" s="111"/>
      <c r="T29" s="240"/>
      <c r="U29" s="25"/>
      <c r="V29" s="25"/>
      <c r="W29" s="25"/>
      <c r="X29" s="25"/>
      <c r="Y29" s="25"/>
      <c r="Z29" s="25"/>
      <c r="AA29" s="25"/>
      <c r="AB29" s="25"/>
      <c r="AC29" s="25"/>
      <c r="AD29" s="25"/>
    </row>
    <row r="30" spans="1:30" s="79" customFormat="1">
      <c r="G30" s="171"/>
      <c r="H30" s="188"/>
      <c r="I30" s="145"/>
      <c r="J30" s="111"/>
      <c r="K30" s="111"/>
      <c r="L30" s="111"/>
      <c r="M30" s="111"/>
      <c r="T30" s="240"/>
      <c r="U30" s="25"/>
      <c r="V30" s="25"/>
      <c r="W30" s="25"/>
      <c r="X30" s="25"/>
      <c r="Y30" s="25"/>
      <c r="Z30" s="25"/>
      <c r="AA30" s="25"/>
      <c r="AB30" s="25"/>
      <c r="AC30" s="25"/>
      <c r="AD30" s="25"/>
    </row>
    <row r="31" spans="1:30" s="79" customFormat="1">
      <c r="G31" s="171"/>
      <c r="H31" s="188"/>
      <c r="I31" s="145"/>
      <c r="J31" s="161">
        <f t="shared" ref="J31:S31" si="10">J11+J26</f>
        <v>286671.83502248558</v>
      </c>
      <c r="K31" s="161">
        <f t="shared" si="10"/>
        <v>947057.1332037024</v>
      </c>
      <c r="L31" s="161">
        <f t="shared" si="10"/>
        <v>1227796.9175562654</v>
      </c>
      <c r="M31" s="161">
        <f t="shared" si="10"/>
        <v>111270.89569654771</v>
      </c>
      <c r="N31" s="161">
        <f t="shared" si="10"/>
        <v>251272.19953169546</v>
      </c>
      <c r="O31" s="161">
        <f t="shared" si="10"/>
        <v>4552457.9732147055</v>
      </c>
      <c r="P31" s="161">
        <f t="shared" si="10"/>
        <v>7936908.9259854238</v>
      </c>
      <c r="Q31" s="161">
        <f t="shared" si="10"/>
        <v>789326.77418058401</v>
      </c>
      <c r="R31" s="161">
        <f t="shared" si="10"/>
        <v>0</v>
      </c>
      <c r="S31" s="161">
        <f t="shared" si="10"/>
        <v>89042.466647635782</v>
      </c>
      <c r="T31" s="240"/>
      <c r="U31" s="25"/>
      <c r="V31" s="25"/>
      <c r="W31" s="25"/>
      <c r="X31" s="25"/>
      <c r="Y31" s="25"/>
      <c r="Z31" s="25"/>
      <c r="AA31" s="25"/>
      <c r="AB31" s="25"/>
      <c r="AC31" s="25"/>
      <c r="AD31" s="25"/>
    </row>
    <row r="32" spans="1:30" s="79" customFormat="1">
      <c r="G32" s="171"/>
      <c r="H32" s="188"/>
      <c r="I32" s="145"/>
      <c r="J32" s="111">
        <v>286671.83502248558</v>
      </c>
      <c r="K32" s="111">
        <v>947057.1332037024</v>
      </c>
      <c r="L32" s="111">
        <v>1227796.9175562654</v>
      </c>
      <c r="M32" s="111">
        <v>111270.89569654771</v>
      </c>
      <c r="N32" s="79">
        <v>251272.19953169546</v>
      </c>
      <c r="O32" s="79">
        <v>4552457.9732147055</v>
      </c>
      <c r="P32" s="79">
        <v>7936908.9259854238</v>
      </c>
      <c r="Q32" s="79">
        <v>789326.77418058401</v>
      </c>
      <c r="R32" s="79">
        <v>557336.17255063762</v>
      </c>
      <c r="S32" s="79">
        <v>89042.466647635782</v>
      </c>
      <c r="T32" s="240"/>
      <c r="U32" s="25"/>
      <c r="V32" s="25"/>
      <c r="W32" s="25"/>
      <c r="X32" s="25"/>
      <c r="Y32" s="25"/>
      <c r="Z32" s="25"/>
      <c r="AA32" s="25"/>
      <c r="AB32" s="25"/>
      <c r="AC32" s="25"/>
      <c r="AD32" s="25"/>
    </row>
    <row r="33" spans="4:30" s="79" customFormat="1">
      <c r="G33" s="171"/>
      <c r="H33" s="188"/>
      <c r="I33" s="145"/>
      <c r="J33" s="111" t="s">
        <v>3</v>
      </c>
      <c r="K33" s="111"/>
      <c r="L33" s="111"/>
      <c r="M33" s="111"/>
      <c r="T33" s="240"/>
      <c r="U33" s="25"/>
      <c r="V33" s="25"/>
      <c r="W33" s="25"/>
      <c r="X33" s="25"/>
      <c r="Y33" s="25"/>
      <c r="Z33" s="25"/>
      <c r="AA33" s="25"/>
      <c r="AB33" s="25"/>
      <c r="AC33" s="25"/>
      <c r="AD33" s="25"/>
    </row>
    <row r="34" spans="4:30" s="79" customFormat="1">
      <c r="G34" s="171"/>
      <c r="H34" s="188"/>
      <c r="I34" s="79" t="s">
        <v>42</v>
      </c>
      <c r="J34" s="79">
        <v>1507</v>
      </c>
      <c r="L34" s="111"/>
      <c r="M34" s="111"/>
      <c r="T34" s="240"/>
      <c r="U34" s="25"/>
      <c r="V34" s="25"/>
      <c r="W34" s="25"/>
      <c r="X34" s="25"/>
      <c r="Y34" s="25"/>
      <c r="Z34" s="25"/>
      <c r="AA34" s="25"/>
      <c r="AB34" s="25"/>
      <c r="AC34" s="25"/>
      <c r="AD34" s="25"/>
    </row>
    <row r="35" spans="4:30" s="79" customFormat="1">
      <c r="D35" s="108"/>
      <c r="E35" s="144"/>
      <c r="G35" s="171"/>
      <c r="H35" s="188"/>
      <c r="I35" s="145" t="s">
        <v>43</v>
      </c>
      <c r="J35" s="89">
        <f>$J$13</f>
        <v>14848052.719508961</v>
      </c>
      <c r="K35" s="161"/>
      <c r="L35" s="161"/>
      <c r="M35" s="111"/>
      <c r="T35" s="240"/>
      <c r="U35" s="25"/>
      <c r="V35" s="25"/>
      <c r="W35" s="25"/>
      <c r="X35" s="25"/>
      <c r="Y35" s="25"/>
      <c r="Z35" s="25"/>
      <c r="AA35" s="25"/>
      <c r="AB35" s="25"/>
      <c r="AC35" s="25"/>
      <c r="AD35" s="25"/>
    </row>
    <row r="36" spans="4:30" s="79" customFormat="1">
      <c r="D36" s="250" t="s">
        <v>36</v>
      </c>
      <c r="E36" s="253" t="s">
        <v>37</v>
      </c>
      <c r="G36" s="171"/>
      <c r="H36" s="188"/>
      <c r="I36" s="145" t="s">
        <v>44</v>
      </c>
      <c r="J36" s="89">
        <f>(J35/J34)</f>
        <v>9852.7224416117861</v>
      </c>
      <c r="K36" s="161"/>
      <c r="L36" s="161"/>
      <c r="M36" s="111"/>
      <c r="T36" s="240"/>
      <c r="U36" s="25"/>
      <c r="V36" s="25"/>
      <c r="W36" s="25"/>
      <c r="X36" s="25"/>
      <c r="Y36" s="25"/>
      <c r="Z36" s="25"/>
      <c r="AA36" s="25"/>
      <c r="AB36" s="25"/>
      <c r="AC36" s="25"/>
      <c r="AD36" s="25"/>
    </row>
    <row r="37" spans="4:30" s="79" customFormat="1">
      <c r="D37" s="251"/>
      <c r="E37" s="254"/>
      <c r="G37" s="171"/>
      <c r="H37" s="188"/>
      <c r="I37" s="145" t="s">
        <v>45</v>
      </c>
      <c r="J37" s="89">
        <f>$J$28</f>
        <v>1343752.4015300851</v>
      </c>
      <c r="K37" s="161"/>
      <c r="L37" s="161"/>
      <c r="M37" s="111"/>
      <c r="T37" s="240"/>
      <c r="U37" s="25"/>
      <c r="V37" s="25"/>
      <c r="W37" s="25"/>
      <c r="X37" s="25"/>
      <c r="Y37" s="25"/>
      <c r="Z37" s="25"/>
      <c r="AA37" s="25"/>
      <c r="AB37" s="25"/>
      <c r="AC37" s="25"/>
      <c r="AD37" s="25"/>
    </row>
    <row r="38" spans="4:30" s="79" customFormat="1">
      <c r="D38" s="251"/>
      <c r="E38" s="254"/>
      <c r="G38" s="171"/>
      <c r="H38" s="188"/>
      <c r="I38" s="145" t="s">
        <v>46</v>
      </c>
      <c r="J38" s="89">
        <f>(J37/J34)</f>
        <v>891.67379000005644</v>
      </c>
      <c r="K38" s="161"/>
      <c r="L38" s="161"/>
      <c r="M38" s="111"/>
      <c r="T38" s="240"/>
      <c r="U38" s="25"/>
      <c r="V38" s="25"/>
      <c r="W38" s="25"/>
      <c r="X38" s="25"/>
      <c r="Y38" s="25"/>
      <c r="Z38" s="25"/>
      <c r="AA38" s="25"/>
      <c r="AB38" s="25"/>
      <c r="AC38" s="25"/>
      <c r="AD38" s="25"/>
    </row>
    <row r="39" spans="4:30" s="79" customFormat="1">
      <c r="D39" s="251"/>
      <c r="E39" s="254"/>
      <c r="G39" s="171"/>
      <c r="H39" s="188"/>
      <c r="I39" s="145" t="s">
        <v>47</v>
      </c>
      <c r="J39" s="89">
        <f>SUM(J35,J37)</f>
        <v>16191805.121039046</v>
      </c>
      <c r="K39" s="161"/>
      <c r="L39" s="161"/>
      <c r="M39" s="111"/>
      <c r="T39" s="240"/>
      <c r="U39" s="25"/>
      <c r="V39" s="25"/>
      <c r="W39" s="25"/>
      <c r="X39" s="25"/>
      <c r="Y39" s="25"/>
      <c r="Z39" s="25"/>
      <c r="AA39" s="25"/>
      <c r="AB39" s="25"/>
      <c r="AC39" s="25"/>
      <c r="AD39" s="25"/>
    </row>
    <row r="40" spans="4:30" s="79" customFormat="1">
      <c r="D40" s="251"/>
      <c r="E40" s="254"/>
      <c r="G40" s="171"/>
      <c r="H40" s="188"/>
      <c r="I40" s="145" t="s">
        <v>48</v>
      </c>
      <c r="J40" s="89">
        <f>J39/J34</f>
        <v>10744.396231611841</v>
      </c>
      <c r="K40" s="161"/>
      <c r="L40" s="161"/>
      <c r="M40" s="111"/>
      <c r="T40" s="240"/>
      <c r="U40" s="25"/>
      <c r="V40" s="25"/>
      <c r="W40" s="25"/>
      <c r="X40" s="25"/>
      <c r="Y40" s="25"/>
      <c r="Z40" s="25"/>
      <c r="AA40" s="25"/>
      <c r="AB40" s="25"/>
      <c r="AC40" s="25"/>
      <c r="AD40" s="25"/>
    </row>
    <row r="41" spans="4:30" s="79" customFormat="1">
      <c r="D41" s="251"/>
      <c r="E41" s="254"/>
      <c r="G41" s="171"/>
      <c r="H41" s="188"/>
      <c r="I41" s="145" t="s">
        <v>49</v>
      </c>
      <c r="J41" s="89">
        <v>1822135.8199999998</v>
      </c>
      <c r="K41" s="162"/>
      <c r="L41" s="162"/>
      <c r="M41" s="111"/>
      <c r="T41" s="240"/>
      <c r="U41" s="25"/>
      <c r="V41" s="25"/>
      <c r="W41" s="25"/>
      <c r="X41" s="25"/>
      <c r="Y41" s="25"/>
      <c r="Z41" s="25"/>
      <c r="AA41" s="25"/>
      <c r="AB41" s="25"/>
      <c r="AC41" s="25"/>
      <c r="AD41" s="25"/>
    </row>
    <row r="42" spans="4:30" s="79" customFormat="1">
      <c r="D42" s="251"/>
      <c r="E42" s="254"/>
      <c r="G42" s="171"/>
      <c r="H42" s="188"/>
      <c r="I42" s="145" t="s">
        <v>50</v>
      </c>
      <c r="J42" s="89">
        <f>J41/J34</f>
        <v>1209.1146781685466</v>
      </c>
      <c r="K42" s="162"/>
      <c r="L42" s="162"/>
      <c r="M42" s="111"/>
      <c r="T42" s="240"/>
      <c r="U42" s="25"/>
      <c r="V42" s="25"/>
      <c r="W42" s="25"/>
      <c r="X42" s="25"/>
      <c r="Y42" s="25"/>
      <c r="Z42" s="25"/>
      <c r="AA42" s="25"/>
      <c r="AB42" s="25"/>
      <c r="AC42" s="25"/>
      <c r="AD42" s="25"/>
    </row>
    <row r="43" spans="4:30" s="79" customFormat="1">
      <c r="D43" s="251"/>
      <c r="E43" s="254"/>
      <c r="G43" s="171"/>
      <c r="H43" s="188"/>
      <c r="I43" s="145" t="s">
        <v>51</v>
      </c>
      <c r="J43" s="207">
        <f>J40/J42</f>
        <v>8.8861680580095541</v>
      </c>
      <c r="K43" s="163"/>
      <c r="L43" s="111"/>
      <c r="M43" s="111"/>
      <c r="T43" s="240"/>
      <c r="U43" s="25"/>
      <c r="V43" s="25"/>
      <c r="W43" s="25"/>
      <c r="X43" s="25"/>
      <c r="Y43" s="25"/>
      <c r="Z43" s="25"/>
      <c r="AA43" s="25"/>
      <c r="AB43" s="25"/>
      <c r="AC43" s="25"/>
      <c r="AD43" s="25"/>
    </row>
    <row r="44" spans="4:30" s="79" customFormat="1">
      <c r="D44" s="251"/>
      <c r="E44" s="254"/>
      <c r="G44" s="171"/>
      <c r="H44" s="188"/>
      <c r="I44" s="145"/>
      <c r="J44" s="111">
        <v>286671.83502248558</v>
      </c>
      <c r="K44" s="111">
        <v>947057.1332037024</v>
      </c>
      <c r="L44" s="111">
        <v>1227796.9175562654</v>
      </c>
      <c r="M44" s="111">
        <v>111270.89569654771</v>
      </c>
      <c r="N44" s="79">
        <v>251272.19953169546</v>
      </c>
      <c r="O44" s="79">
        <v>4552457.9732147055</v>
      </c>
      <c r="P44" s="79">
        <v>7936908.9259854238</v>
      </c>
      <c r="Q44" s="79">
        <v>789326.77418058401</v>
      </c>
      <c r="R44" s="79">
        <v>263468.0088421196</v>
      </c>
      <c r="S44" s="79">
        <v>89042.466647635782</v>
      </c>
      <c r="T44" s="240"/>
      <c r="U44" s="25"/>
      <c r="V44" s="25"/>
      <c r="W44" s="25"/>
      <c r="X44" s="25"/>
      <c r="Y44" s="25"/>
      <c r="Z44" s="25"/>
      <c r="AA44" s="25"/>
      <c r="AB44" s="25"/>
      <c r="AC44" s="25"/>
      <c r="AD44" s="25"/>
    </row>
    <row r="45" spans="4:30" s="79" customFormat="1">
      <c r="D45" s="251"/>
      <c r="E45" s="254"/>
      <c r="G45" s="171"/>
      <c r="H45" s="188"/>
      <c r="I45" s="145"/>
      <c r="J45" s="111"/>
      <c r="K45" s="111"/>
      <c r="L45" s="111"/>
      <c r="M45" s="111"/>
      <c r="T45" s="240"/>
      <c r="U45" s="25"/>
      <c r="V45" s="25"/>
      <c r="W45" s="25"/>
      <c r="X45" s="25"/>
      <c r="Y45" s="25"/>
      <c r="Z45" s="25"/>
      <c r="AA45" s="25"/>
      <c r="AB45" s="25"/>
      <c r="AC45" s="25"/>
      <c r="AD45" s="25"/>
    </row>
    <row r="46" spans="4:30" s="79" customFormat="1">
      <c r="D46" s="251"/>
      <c r="E46" s="254"/>
      <c r="G46" s="171"/>
      <c r="H46" s="188"/>
      <c r="I46" s="145"/>
      <c r="J46" s="111"/>
      <c r="K46" s="111"/>
      <c r="L46" s="111"/>
      <c r="M46" s="111"/>
      <c r="T46" s="240"/>
      <c r="U46" s="25"/>
      <c r="V46" s="25"/>
      <c r="W46" s="25"/>
      <c r="X46" s="25"/>
      <c r="Y46" s="25"/>
      <c r="Z46" s="25"/>
      <c r="AA46" s="25"/>
      <c r="AB46" s="25"/>
      <c r="AC46" s="25"/>
      <c r="AD46" s="25"/>
    </row>
    <row r="47" spans="4:30" s="79" customFormat="1">
      <c r="D47" s="251"/>
      <c r="E47" s="254"/>
      <c r="G47" s="171"/>
      <c r="H47" s="188"/>
      <c r="I47" s="145"/>
      <c r="J47" s="111"/>
      <c r="K47" s="111"/>
      <c r="L47" s="111"/>
      <c r="M47" s="111"/>
      <c r="T47" s="240"/>
      <c r="U47" s="25"/>
      <c r="V47" s="25"/>
      <c r="W47" s="25"/>
      <c r="X47" s="25"/>
      <c r="Y47" s="25"/>
      <c r="Z47" s="25"/>
      <c r="AA47" s="25"/>
      <c r="AB47" s="25"/>
      <c r="AC47" s="25"/>
      <c r="AD47" s="25"/>
    </row>
    <row r="48" spans="4:30" s="79" customFormat="1">
      <c r="D48" s="251"/>
      <c r="E48" s="254"/>
      <c r="G48" s="171"/>
      <c r="H48" s="188"/>
      <c r="I48" s="145"/>
      <c r="J48" s="111"/>
      <c r="K48" s="111"/>
      <c r="L48" s="111"/>
      <c r="M48" s="111"/>
      <c r="T48" s="240"/>
      <c r="U48" s="25"/>
      <c r="V48" s="25"/>
      <c r="W48" s="25"/>
      <c r="X48" s="25"/>
      <c r="Y48" s="25"/>
      <c r="Z48" s="25"/>
      <c r="AA48" s="25"/>
      <c r="AB48" s="25"/>
      <c r="AC48" s="25"/>
      <c r="AD48" s="25"/>
    </row>
    <row r="49" spans="4:30" s="79" customFormat="1">
      <c r="D49" s="251"/>
      <c r="E49" s="254"/>
      <c r="G49" s="171"/>
      <c r="H49" s="188"/>
      <c r="I49" s="145"/>
      <c r="J49" s="111"/>
      <c r="K49" s="111"/>
      <c r="L49" s="111"/>
      <c r="M49" s="111"/>
      <c r="T49" s="240"/>
      <c r="U49" s="25"/>
      <c r="V49" s="25"/>
      <c r="W49" s="25"/>
      <c r="X49" s="25"/>
      <c r="Y49" s="25"/>
      <c r="Z49" s="25"/>
      <c r="AA49" s="25"/>
      <c r="AB49" s="25"/>
      <c r="AC49" s="25"/>
      <c r="AD49" s="25"/>
    </row>
    <row r="50" spans="4:30" s="79" customFormat="1">
      <c r="D50" s="251"/>
      <c r="E50" s="254"/>
      <c r="G50" s="171"/>
      <c r="H50" s="188"/>
      <c r="I50" s="145"/>
      <c r="J50" s="111"/>
      <c r="K50" s="111"/>
      <c r="L50" s="111"/>
      <c r="M50" s="111"/>
      <c r="T50" s="240"/>
      <c r="U50" s="25"/>
      <c r="V50" s="25"/>
      <c r="W50" s="25"/>
      <c r="X50" s="25"/>
      <c r="Y50" s="25"/>
      <c r="Z50" s="25"/>
      <c r="AA50" s="25"/>
      <c r="AB50" s="25"/>
      <c r="AC50" s="25"/>
      <c r="AD50" s="25"/>
    </row>
    <row r="51" spans="4:30" s="79" customFormat="1">
      <c r="D51" s="251"/>
      <c r="E51" s="254"/>
      <c r="G51" s="171"/>
      <c r="H51" s="188"/>
      <c r="I51" s="145"/>
      <c r="J51" s="111"/>
      <c r="K51" s="111"/>
      <c r="L51" s="111"/>
      <c r="M51" s="111"/>
      <c r="T51" s="240"/>
      <c r="U51" s="25"/>
      <c r="V51" s="25"/>
      <c r="W51" s="25"/>
      <c r="X51" s="25"/>
      <c r="Y51" s="25"/>
      <c r="Z51" s="25"/>
      <c r="AA51" s="25"/>
      <c r="AB51" s="25"/>
      <c r="AC51" s="25"/>
      <c r="AD51" s="25"/>
    </row>
    <row r="52" spans="4:30" s="79" customFormat="1">
      <c r="D52" s="252"/>
      <c r="E52" s="255"/>
      <c r="G52" s="171"/>
      <c r="H52" s="188"/>
      <c r="I52" s="145"/>
      <c r="J52" s="111"/>
      <c r="K52" s="111"/>
      <c r="L52" s="111"/>
      <c r="M52" s="111"/>
      <c r="T52" s="240"/>
      <c r="U52" s="25"/>
      <c r="V52" s="25"/>
      <c r="W52" s="25"/>
      <c r="X52" s="25"/>
      <c r="Y52" s="25"/>
      <c r="Z52" s="25"/>
      <c r="AA52" s="25"/>
      <c r="AB52" s="25"/>
      <c r="AC52" s="25"/>
      <c r="AD52" s="25"/>
    </row>
    <row r="53" spans="4:30" s="79" customFormat="1">
      <c r="D53" s="108"/>
      <c r="E53" s="144"/>
      <c r="G53" s="171"/>
      <c r="H53" s="188"/>
      <c r="I53" s="145"/>
      <c r="J53" s="111"/>
      <c r="K53" s="111"/>
      <c r="L53" s="111"/>
      <c r="M53" s="111"/>
      <c r="T53" s="240"/>
      <c r="U53" s="25"/>
      <c r="V53" s="25"/>
      <c r="W53" s="25"/>
      <c r="X53" s="25"/>
      <c r="Y53" s="25"/>
      <c r="Z53" s="25"/>
      <c r="AA53" s="25"/>
      <c r="AB53" s="25"/>
      <c r="AC53" s="25"/>
      <c r="AD53" s="25"/>
    </row>
    <row r="54" spans="4:30" s="79" customFormat="1">
      <c r="D54" s="108"/>
      <c r="E54" s="144"/>
      <c r="G54" s="171"/>
      <c r="H54" s="188"/>
      <c r="I54" s="145"/>
      <c r="J54" s="111"/>
      <c r="K54" s="111"/>
      <c r="L54" s="111"/>
      <c r="M54" s="111"/>
      <c r="T54" s="240"/>
      <c r="U54" s="25"/>
      <c r="V54" s="25"/>
      <c r="W54" s="25"/>
      <c r="X54" s="25"/>
      <c r="Y54" s="25"/>
      <c r="Z54" s="25"/>
      <c r="AA54" s="25"/>
      <c r="AB54" s="25"/>
      <c r="AC54" s="25"/>
      <c r="AD54" s="25"/>
    </row>
    <row r="55" spans="4:30" s="79" customFormat="1">
      <c r="D55" s="108"/>
      <c r="E55" s="144"/>
      <c r="G55" s="171"/>
      <c r="H55" s="188"/>
      <c r="I55" s="145"/>
      <c r="J55" s="111"/>
      <c r="K55" s="111"/>
      <c r="L55" s="111"/>
      <c r="M55" s="111"/>
      <c r="T55" s="240"/>
      <c r="U55" s="25"/>
      <c r="V55" s="25"/>
      <c r="W55" s="25"/>
      <c r="X55" s="25"/>
      <c r="Y55" s="25"/>
      <c r="Z55" s="25"/>
      <c r="AA55" s="25"/>
      <c r="AB55" s="25"/>
      <c r="AC55" s="25"/>
      <c r="AD55" s="25"/>
    </row>
    <row r="56" spans="4:30" s="79" customFormat="1">
      <c r="D56" s="108"/>
      <c r="E56" s="144"/>
      <c r="G56" s="171"/>
      <c r="H56" s="188"/>
      <c r="I56" s="145"/>
      <c r="J56" s="111"/>
      <c r="K56" s="111"/>
      <c r="L56" s="111"/>
      <c r="M56" s="111"/>
      <c r="T56" s="240"/>
      <c r="U56" s="25"/>
      <c r="V56" s="25"/>
      <c r="W56" s="25"/>
      <c r="X56" s="25"/>
      <c r="Y56" s="25"/>
      <c r="Z56" s="25"/>
      <c r="AA56" s="25"/>
      <c r="AB56" s="25"/>
      <c r="AC56" s="25"/>
      <c r="AD56" s="25"/>
    </row>
    <row r="57" spans="4:30" s="79" customFormat="1">
      <c r="D57" s="108"/>
      <c r="E57" s="144"/>
      <c r="G57" s="171"/>
      <c r="H57" s="188"/>
      <c r="I57" s="145"/>
      <c r="J57" s="111"/>
      <c r="K57" s="111"/>
      <c r="L57" s="111"/>
      <c r="M57" s="111"/>
      <c r="T57" s="240"/>
      <c r="U57" s="25"/>
      <c r="V57" s="25"/>
      <c r="W57" s="25"/>
      <c r="X57" s="25"/>
      <c r="Y57" s="25"/>
      <c r="Z57" s="25"/>
      <c r="AA57" s="25"/>
      <c r="AB57" s="25"/>
      <c r="AC57" s="25"/>
      <c r="AD57" s="25"/>
    </row>
    <row r="58" spans="4:30" s="79" customFormat="1">
      <c r="D58" s="108"/>
      <c r="E58" s="144"/>
      <c r="G58" s="171"/>
      <c r="H58" s="188"/>
      <c r="I58" s="145"/>
      <c r="J58" s="111"/>
      <c r="K58" s="111"/>
      <c r="L58" s="111"/>
      <c r="M58" s="111"/>
      <c r="T58" s="240"/>
      <c r="U58" s="25"/>
      <c r="V58" s="25"/>
      <c r="W58" s="25"/>
      <c r="X58" s="25"/>
      <c r="Y58" s="25"/>
      <c r="Z58" s="25"/>
      <c r="AA58" s="25"/>
      <c r="AB58" s="25"/>
      <c r="AC58" s="25"/>
      <c r="AD58" s="25"/>
    </row>
    <row r="59" spans="4:30" s="79" customFormat="1">
      <c r="D59" s="108"/>
      <c r="E59" s="144"/>
      <c r="G59" s="171"/>
      <c r="H59" s="188"/>
      <c r="I59" s="145"/>
      <c r="J59" s="111"/>
      <c r="K59" s="111"/>
      <c r="L59" s="111"/>
      <c r="M59" s="111"/>
      <c r="T59" s="240"/>
      <c r="U59" s="25"/>
      <c r="V59" s="25"/>
      <c r="W59" s="25"/>
      <c r="X59" s="25"/>
      <c r="Y59" s="25"/>
      <c r="Z59" s="25"/>
      <c r="AA59" s="25"/>
      <c r="AB59" s="25"/>
      <c r="AC59" s="25"/>
      <c r="AD59" s="25"/>
    </row>
    <row r="60" spans="4:30" s="79" customFormat="1">
      <c r="D60" s="108"/>
      <c r="E60" s="144"/>
      <c r="G60" s="171"/>
      <c r="H60" s="188"/>
      <c r="I60" s="145"/>
      <c r="J60" s="111"/>
      <c r="K60" s="111"/>
      <c r="L60" s="111"/>
      <c r="M60" s="111"/>
      <c r="T60" s="240"/>
      <c r="U60" s="25"/>
      <c r="V60" s="25"/>
      <c r="W60" s="25"/>
      <c r="X60" s="25"/>
      <c r="Y60" s="25"/>
      <c r="Z60" s="25"/>
      <c r="AA60" s="25"/>
      <c r="AB60" s="25"/>
      <c r="AC60" s="25"/>
      <c r="AD60" s="25"/>
    </row>
    <row r="61" spans="4:30" s="79" customFormat="1">
      <c r="D61" s="108"/>
      <c r="E61" s="144"/>
      <c r="G61" s="171"/>
      <c r="H61" s="188"/>
      <c r="I61" s="145"/>
      <c r="J61" s="111"/>
      <c r="K61" s="111"/>
      <c r="L61" s="111"/>
      <c r="M61" s="111"/>
      <c r="T61" s="240"/>
      <c r="U61" s="25"/>
      <c r="V61" s="25"/>
      <c r="W61" s="25"/>
      <c r="X61" s="25"/>
      <c r="Y61" s="25"/>
      <c r="Z61" s="25"/>
      <c r="AA61" s="25"/>
      <c r="AB61" s="25"/>
      <c r="AC61" s="25"/>
      <c r="AD61" s="25"/>
    </row>
    <row r="62" spans="4:30" s="79" customFormat="1">
      <c r="D62" s="108"/>
      <c r="E62" s="144"/>
      <c r="G62" s="171"/>
      <c r="H62" s="188"/>
      <c r="I62" s="145"/>
      <c r="J62" s="111"/>
      <c r="K62" s="111"/>
      <c r="L62" s="111"/>
      <c r="M62" s="111"/>
      <c r="T62" s="240"/>
      <c r="U62" s="25"/>
      <c r="V62" s="25"/>
      <c r="W62" s="25"/>
      <c r="X62" s="25"/>
      <c r="Y62" s="25"/>
      <c r="Z62" s="25"/>
      <c r="AA62" s="25"/>
      <c r="AB62" s="25"/>
      <c r="AC62" s="25"/>
      <c r="AD62" s="25"/>
    </row>
    <row r="63" spans="4:30" s="79" customFormat="1">
      <c r="D63" s="108"/>
      <c r="E63" s="144"/>
      <c r="G63" s="171"/>
      <c r="H63" s="188"/>
      <c r="I63" s="145"/>
      <c r="J63" s="111"/>
      <c r="K63" s="111"/>
      <c r="L63" s="111"/>
      <c r="M63" s="111"/>
      <c r="T63" s="240"/>
      <c r="U63" s="25"/>
      <c r="V63" s="25"/>
      <c r="W63" s="25"/>
      <c r="X63" s="25"/>
      <c r="Y63" s="25"/>
      <c r="Z63" s="25"/>
      <c r="AA63" s="25"/>
      <c r="AB63" s="25"/>
      <c r="AC63" s="25"/>
      <c r="AD63" s="25"/>
    </row>
    <row r="64" spans="4:30" s="79" customFormat="1">
      <c r="D64" s="108"/>
      <c r="E64" s="144"/>
      <c r="G64" s="171"/>
      <c r="H64" s="188"/>
      <c r="I64" s="145"/>
      <c r="J64" s="111"/>
      <c r="K64" s="111"/>
      <c r="L64" s="111"/>
      <c r="M64" s="111"/>
      <c r="T64" s="240"/>
      <c r="U64" s="25"/>
      <c r="V64" s="25"/>
      <c r="W64" s="25"/>
      <c r="X64" s="25"/>
      <c r="Y64" s="25"/>
      <c r="Z64" s="25"/>
      <c r="AA64" s="25"/>
      <c r="AB64" s="25"/>
      <c r="AC64" s="25"/>
      <c r="AD64" s="25"/>
    </row>
    <row r="65" spans="4:30" s="79" customFormat="1">
      <c r="D65" s="108"/>
      <c r="E65" s="144"/>
      <c r="G65" s="171"/>
      <c r="H65" s="188"/>
      <c r="I65" s="145"/>
      <c r="J65" s="111"/>
      <c r="K65" s="111"/>
      <c r="L65" s="111"/>
      <c r="M65" s="111"/>
      <c r="T65" s="240"/>
      <c r="U65" s="25"/>
      <c r="V65" s="25"/>
      <c r="W65" s="25"/>
      <c r="X65" s="25"/>
      <c r="Y65" s="25"/>
      <c r="Z65" s="25"/>
      <c r="AA65" s="25"/>
      <c r="AB65" s="25"/>
      <c r="AC65" s="25"/>
      <c r="AD65" s="25"/>
    </row>
    <row r="66" spans="4:30" s="79" customFormat="1">
      <c r="D66" s="108"/>
      <c r="E66" s="144"/>
      <c r="G66" s="171"/>
      <c r="H66" s="188"/>
      <c r="I66" s="145"/>
      <c r="J66" s="111"/>
      <c r="K66" s="111"/>
      <c r="L66" s="111"/>
      <c r="M66" s="111"/>
      <c r="T66" s="240"/>
      <c r="U66" s="25"/>
      <c r="V66" s="25"/>
      <c r="W66" s="25"/>
      <c r="X66" s="25"/>
      <c r="Y66" s="25"/>
      <c r="Z66" s="25"/>
      <c r="AA66" s="25"/>
      <c r="AB66" s="25"/>
      <c r="AC66" s="25"/>
      <c r="AD66" s="25"/>
    </row>
    <row r="67" spans="4:30" s="79" customFormat="1">
      <c r="D67" s="108"/>
      <c r="E67" s="144"/>
      <c r="G67" s="171"/>
      <c r="H67" s="188"/>
      <c r="I67" s="145"/>
      <c r="J67" s="111"/>
      <c r="K67" s="111"/>
      <c r="L67" s="111"/>
      <c r="M67" s="111"/>
      <c r="T67" s="240"/>
      <c r="U67" s="25"/>
      <c r="V67" s="25"/>
      <c r="W67" s="25"/>
      <c r="X67" s="25"/>
      <c r="Y67" s="25"/>
      <c r="Z67" s="25"/>
      <c r="AA67" s="25"/>
      <c r="AB67" s="25"/>
      <c r="AC67" s="25"/>
      <c r="AD67" s="25"/>
    </row>
    <row r="68" spans="4:30" s="79" customFormat="1">
      <c r="D68" s="108"/>
      <c r="E68" s="144"/>
      <c r="G68" s="171"/>
      <c r="H68" s="188"/>
      <c r="I68" s="145"/>
      <c r="J68" s="111"/>
      <c r="K68" s="111"/>
      <c r="L68" s="111"/>
      <c r="M68" s="111"/>
      <c r="T68" s="240"/>
      <c r="U68" s="25"/>
      <c r="V68" s="25"/>
      <c r="W68" s="25"/>
      <c r="X68" s="25"/>
      <c r="Y68" s="25"/>
      <c r="Z68" s="25"/>
      <c r="AA68" s="25"/>
      <c r="AB68" s="25"/>
      <c r="AC68" s="25"/>
      <c r="AD68" s="25"/>
    </row>
    <row r="69" spans="4:30" s="79" customFormat="1">
      <c r="D69" s="108"/>
      <c r="E69" s="144"/>
      <c r="G69" s="171"/>
      <c r="H69" s="188"/>
      <c r="I69" s="145"/>
      <c r="J69" s="111"/>
      <c r="K69" s="111"/>
      <c r="L69" s="111"/>
      <c r="M69" s="111"/>
      <c r="T69" s="240"/>
      <c r="U69" s="25"/>
      <c r="V69" s="25"/>
      <c r="W69" s="25"/>
      <c r="X69" s="25"/>
      <c r="Y69" s="25"/>
      <c r="Z69" s="25"/>
      <c r="AA69" s="25"/>
      <c r="AB69" s="25"/>
      <c r="AC69" s="25"/>
      <c r="AD69" s="25"/>
    </row>
    <row r="70" spans="4:30" s="79" customFormat="1">
      <c r="D70" s="108"/>
      <c r="E70" s="144"/>
      <c r="G70" s="171"/>
      <c r="H70" s="188"/>
      <c r="I70" s="145"/>
      <c r="J70" s="111"/>
      <c r="K70" s="111"/>
      <c r="L70" s="111"/>
      <c r="M70" s="111"/>
      <c r="T70" s="240"/>
      <c r="U70" s="25"/>
      <c r="V70" s="25"/>
      <c r="W70" s="25"/>
      <c r="X70" s="25"/>
      <c r="Y70" s="25"/>
      <c r="Z70" s="25"/>
      <c r="AA70" s="25"/>
      <c r="AB70" s="25"/>
      <c r="AC70" s="25"/>
      <c r="AD70" s="25"/>
    </row>
    <row r="71" spans="4:30" s="79" customFormat="1">
      <c r="D71" s="108"/>
      <c r="E71" s="144"/>
      <c r="G71" s="171"/>
      <c r="H71" s="188"/>
      <c r="I71" s="145"/>
      <c r="J71" s="111"/>
      <c r="K71" s="111"/>
      <c r="L71" s="111"/>
      <c r="M71" s="111"/>
      <c r="T71" s="240"/>
      <c r="U71" s="25"/>
      <c r="V71" s="25"/>
      <c r="W71" s="25"/>
      <c r="X71" s="25"/>
      <c r="Y71" s="25"/>
      <c r="Z71" s="25"/>
      <c r="AA71" s="25"/>
      <c r="AB71" s="25"/>
      <c r="AC71" s="25"/>
      <c r="AD71" s="25"/>
    </row>
  </sheetData>
  <mergeCells count="32">
    <mergeCell ref="S26:S27"/>
    <mergeCell ref="E36:E52"/>
    <mergeCell ref="I26:I27"/>
    <mergeCell ref="J26:J27"/>
    <mergeCell ref="K26:K27"/>
    <mergeCell ref="L26:L27"/>
    <mergeCell ref="M26:M27"/>
    <mergeCell ref="R26:R27"/>
    <mergeCell ref="N11:N12"/>
    <mergeCell ref="O11:O12"/>
    <mergeCell ref="P11:P12"/>
    <mergeCell ref="Q11:Q12"/>
    <mergeCell ref="N26:N27"/>
    <mergeCell ref="O26:O27"/>
    <mergeCell ref="P26:P27"/>
    <mergeCell ref="Q26:Q27"/>
    <mergeCell ref="R11:R12"/>
    <mergeCell ref="A1:E2"/>
    <mergeCell ref="I1:I4"/>
    <mergeCell ref="J1:S3"/>
    <mergeCell ref="T1:T1048576"/>
    <mergeCell ref="A3:E3"/>
    <mergeCell ref="A9:E11"/>
    <mergeCell ref="J11:J12"/>
    <mergeCell ref="K11:K12"/>
    <mergeCell ref="L11:L12"/>
    <mergeCell ref="M11:M12"/>
    <mergeCell ref="S11:S12"/>
    <mergeCell ref="A16:E16"/>
    <mergeCell ref="I16:I19"/>
    <mergeCell ref="J16:S18"/>
    <mergeCell ref="D36:D5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71"/>
  <sheetViews>
    <sheetView topLeftCell="I4" zoomScale="80" zoomScaleNormal="80" workbookViewId="0">
      <selection activeCell="R9" sqref="R9"/>
    </sheetView>
  </sheetViews>
  <sheetFormatPr defaultRowHeight="15"/>
  <cols>
    <col min="1" max="1" width="17.28515625" bestFit="1" customWidth="1"/>
    <col min="2" max="3" width="17.28515625" customWidth="1"/>
    <col min="4" max="4" width="18.7109375" style="106" customWidth="1"/>
    <col min="5" max="5" width="18.7109375" style="98" customWidth="1"/>
    <col min="6" max="6" width="4.5703125" style="107" customWidth="1"/>
    <col min="7" max="7" width="4.28515625" style="171" customWidth="1"/>
    <col min="8" max="8" width="17.140625" style="188" bestFit="1" customWidth="1"/>
    <col min="9" max="9" width="45.5703125" style="118" customWidth="1"/>
    <col min="10" max="10" width="20" style="115" bestFit="1" customWidth="1"/>
    <col min="11" max="11" width="16.85546875" style="115" bestFit="1" customWidth="1"/>
    <col min="12" max="12" width="17.7109375" style="115" bestFit="1" customWidth="1"/>
    <col min="13" max="13" width="17.28515625" style="117" bestFit="1" customWidth="1"/>
    <col min="14" max="14" width="16.28515625" bestFit="1" customWidth="1"/>
    <col min="15" max="15" width="19.5703125" bestFit="1" customWidth="1"/>
    <col min="16" max="16" width="18.140625" bestFit="1" customWidth="1"/>
    <col min="17" max="17" width="20.28515625" bestFit="1" customWidth="1"/>
    <col min="18" max="18" width="20.28515625" customWidth="1"/>
    <col min="19" max="19" width="17.28515625" bestFit="1" customWidth="1"/>
    <col min="20" max="20" width="4.28515625" style="240" customWidth="1"/>
    <col min="21" max="21" width="46" style="25" customWidth="1"/>
    <col min="22" max="22" width="16.140625" style="25" bestFit="1" customWidth="1"/>
    <col min="23" max="24" width="12.140625" style="25" bestFit="1" customWidth="1"/>
    <col min="25" max="25" width="12.85546875" style="25" bestFit="1" customWidth="1"/>
    <col min="26" max="26" width="14.28515625" style="25" bestFit="1" customWidth="1"/>
    <col min="27" max="27" width="15" style="25" bestFit="1" customWidth="1"/>
    <col min="28" max="28" width="14.28515625" style="25" bestFit="1" customWidth="1"/>
    <col min="29" max="29" width="17.42578125" style="25" customWidth="1"/>
    <col min="30" max="30" width="14.28515625" style="25" bestFit="1" customWidth="1"/>
  </cols>
  <sheetData>
    <row r="1" spans="1:30" s="146" customFormat="1" ht="15" customHeight="1">
      <c r="A1" s="227">
        <v>52</v>
      </c>
      <c r="B1" s="227"/>
      <c r="C1" s="227"/>
      <c r="D1" s="227"/>
      <c r="E1" s="227"/>
      <c r="G1" s="171"/>
      <c r="H1" s="187"/>
      <c r="I1" s="228"/>
      <c r="J1" s="231"/>
      <c r="K1" s="232"/>
      <c r="L1" s="232"/>
      <c r="M1" s="232"/>
      <c r="N1" s="232"/>
      <c r="O1" s="232"/>
      <c r="P1" s="232"/>
      <c r="Q1" s="232"/>
      <c r="R1" s="232"/>
      <c r="S1" s="233"/>
      <c r="T1" s="240"/>
      <c r="U1" s="28"/>
      <c r="V1" s="203"/>
      <c r="W1" s="203"/>
      <c r="X1" s="203"/>
      <c r="Y1" s="203"/>
      <c r="Z1" s="203"/>
      <c r="AA1" s="203"/>
      <c r="AB1" s="203"/>
      <c r="AC1" s="203"/>
      <c r="AD1" s="203"/>
    </row>
    <row r="2" spans="1:30" s="146" customFormat="1" ht="15" customHeight="1">
      <c r="A2" s="227"/>
      <c r="B2" s="227"/>
      <c r="C2" s="227"/>
      <c r="D2" s="227"/>
      <c r="E2" s="227"/>
      <c r="G2" s="171"/>
      <c r="H2" s="187"/>
      <c r="I2" s="229"/>
      <c r="J2" s="234"/>
      <c r="K2" s="235"/>
      <c r="L2" s="235"/>
      <c r="M2" s="235"/>
      <c r="N2" s="235"/>
      <c r="O2" s="235"/>
      <c r="P2" s="235"/>
      <c r="Q2" s="235"/>
      <c r="R2" s="235"/>
      <c r="S2" s="236"/>
      <c r="T2" s="240"/>
      <c r="U2" s="28"/>
      <c r="V2" s="203"/>
      <c r="W2" s="203"/>
      <c r="X2" s="203"/>
      <c r="Y2" s="203"/>
      <c r="Z2" s="203"/>
      <c r="AA2" s="203"/>
      <c r="AB2" s="203"/>
      <c r="AC2" s="203"/>
      <c r="AD2" s="203"/>
    </row>
    <row r="3" spans="1:30" s="79" customFormat="1" ht="26.25" customHeight="1">
      <c r="A3" s="241" t="s">
        <v>5</v>
      </c>
      <c r="B3" s="241"/>
      <c r="C3" s="241"/>
      <c r="D3" s="241"/>
      <c r="E3" s="241"/>
      <c r="G3" s="171"/>
      <c r="H3" s="187"/>
      <c r="I3" s="229"/>
      <c r="J3" s="237"/>
      <c r="K3" s="238"/>
      <c r="L3" s="238"/>
      <c r="M3" s="238"/>
      <c r="N3" s="238"/>
      <c r="O3" s="238"/>
      <c r="P3" s="238"/>
      <c r="Q3" s="238"/>
      <c r="R3" s="238"/>
      <c r="S3" s="239"/>
      <c r="T3" s="240"/>
      <c r="U3" s="28"/>
      <c r="V3" s="203"/>
      <c r="W3" s="203"/>
      <c r="X3" s="203"/>
      <c r="Y3" s="203"/>
      <c r="Z3" s="203"/>
      <c r="AA3" s="203"/>
      <c r="AB3" s="203"/>
      <c r="AC3" s="203"/>
      <c r="AD3" s="203"/>
    </row>
    <row r="4" spans="1:30" ht="45">
      <c r="A4" s="52" t="s">
        <v>6</v>
      </c>
      <c r="B4" s="52"/>
      <c r="C4" s="52"/>
      <c r="D4" s="130" t="s">
        <v>52</v>
      </c>
      <c r="E4" s="131" t="s">
        <v>10</v>
      </c>
      <c r="H4" s="187"/>
      <c r="I4" s="230"/>
      <c r="J4" s="120" t="s">
        <v>12</v>
      </c>
      <c r="K4" s="121" t="s">
        <v>13</v>
      </c>
      <c r="L4" s="122" t="s">
        <v>14</v>
      </c>
      <c r="M4" s="120" t="s">
        <v>15</v>
      </c>
      <c r="N4" s="120" t="s">
        <v>16</v>
      </c>
      <c r="O4" s="120" t="s">
        <v>17</v>
      </c>
      <c r="P4" s="120" t="s">
        <v>18</v>
      </c>
      <c r="Q4" s="120" t="s">
        <v>19</v>
      </c>
      <c r="R4" s="120" t="s">
        <v>83</v>
      </c>
      <c r="S4" s="120" t="s">
        <v>20</v>
      </c>
      <c r="U4" s="28"/>
      <c r="V4" s="189"/>
      <c r="W4" s="190"/>
      <c r="X4" s="191"/>
      <c r="Y4" s="189"/>
      <c r="Z4" s="189"/>
      <c r="AA4" s="189"/>
      <c r="AB4" s="189"/>
      <c r="AC4" s="189"/>
      <c r="AD4" s="189"/>
    </row>
    <row r="5" spans="1:30">
      <c r="A5" s="48" t="s">
        <v>21</v>
      </c>
      <c r="B5" s="48"/>
      <c r="C5" s="48"/>
      <c r="D5" s="206">
        <v>26</v>
      </c>
      <c r="E5" s="129">
        <f>(D5/$A$1)</f>
        <v>0.5</v>
      </c>
      <c r="H5" s="112"/>
      <c r="I5" s="185" t="s">
        <v>22</v>
      </c>
      <c r="J5" s="124">
        <f>'biometrics(1yr)'!J5</f>
        <v>1507</v>
      </c>
      <c r="K5" s="125">
        <f>'biometrics(1yr)'!K5</f>
        <v>1507</v>
      </c>
      <c r="L5" s="126">
        <f>'biometrics(1yr)'!L5</f>
        <v>1507</v>
      </c>
      <c r="M5" s="152">
        <f>'biometrics(1yr)'!M5</f>
        <v>1507</v>
      </c>
      <c r="N5" s="206">
        <f>'biometrics(1yr)'!N5</f>
        <v>1507</v>
      </c>
      <c r="O5" s="206">
        <f>'biometrics(1yr)'!O5</f>
        <v>1507</v>
      </c>
      <c r="P5" s="206">
        <f>'biometrics(1yr)'!P5</f>
        <v>1507</v>
      </c>
      <c r="Q5" s="206">
        <f>'biometrics(1yr)'!Q5</f>
        <v>1507</v>
      </c>
      <c r="R5" s="211">
        <f>'biometrics(1yr)'!R5</f>
        <v>1507</v>
      </c>
      <c r="S5" s="206">
        <f>'biometrics(1yr)'!S5</f>
        <v>1507</v>
      </c>
      <c r="U5" s="192"/>
      <c r="V5" s="193"/>
      <c r="W5" s="193"/>
      <c r="X5" s="193"/>
      <c r="Y5" s="193"/>
      <c r="Z5" s="193"/>
      <c r="AA5" s="193"/>
      <c r="AB5" s="193"/>
      <c r="AC5" s="193"/>
      <c r="AD5" s="193"/>
    </row>
    <row r="6" spans="1:30">
      <c r="A6" s="48" t="s">
        <v>23</v>
      </c>
      <c r="B6" s="48"/>
      <c r="C6" s="48"/>
      <c r="D6" s="206">
        <v>26</v>
      </c>
      <c r="E6" s="129">
        <f t="shared" ref="E6:E8" si="0">(D6/$A$1)</f>
        <v>0.5</v>
      </c>
      <c r="H6" s="112"/>
      <c r="I6" s="185" t="s">
        <v>24</v>
      </c>
      <c r="J6" s="127">
        <f>'biometrics(1yr)'!J6</f>
        <v>0.08</v>
      </c>
      <c r="K6" s="127">
        <f>'biometrics(1yr)'!K6</f>
        <v>0.25800000000000001</v>
      </c>
      <c r="L6" s="127">
        <f>'biometrics(1yr)'!L6</f>
        <v>8.1000000000000003E-2</v>
      </c>
      <c r="M6" s="127">
        <f>'biometrics(1yr)'!M6</f>
        <v>0.29299999999999998</v>
      </c>
      <c r="N6" s="127">
        <f>'biometrics(1yr)'!N6</f>
        <v>0.10299999999999999</v>
      </c>
      <c r="O6" s="127">
        <f>'biometrics(1yr)'!O6</f>
        <v>0.28000000000000003</v>
      </c>
      <c r="P6" s="127">
        <f>'biometrics(1yr)'!P6</f>
        <v>0.38</v>
      </c>
      <c r="Q6" s="127">
        <f>'biometrics(1yr)'!Q6</f>
        <v>0.16700000000000001</v>
      </c>
      <c r="R6" s="127">
        <f>'biometrics(1yr)'!R6</f>
        <v>8.0199999999999994E-2</v>
      </c>
      <c r="S6" s="127">
        <f>'biometrics(1yr)'!S6</f>
        <v>1</v>
      </c>
      <c r="U6" s="192"/>
      <c r="V6" s="194"/>
      <c r="W6" s="194"/>
      <c r="X6" s="194"/>
      <c r="Y6" s="194"/>
      <c r="Z6" s="194"/>
      <c r="AA6" s="194"/>
      <c r="AB6" s="194"/>
      <c r="AC6" s="194"/>
      <c r="AD6" s="194"/>
    </row>
    <row r="7" spans="1:30">
      <c r="A7" s="48" t="s">
        <v>25</v>
      </c>
      <c r="B7" s="48"/>
      <c r="C7" s="48"/>
      <c r="D7" s="206">
        <v>28</v>
      </c>
      <c r="E7" s="129">
        <f t="shared" si="0"/>
        <v>0.53846153846153844</v>
      </c>
      <c r="H7" s="112"/>
      <c r="I7" s="185" t="s">
        <v>156</v>
      </c>
      <c r="J7" s="128">
        <f>'biometrics(1yr)'!J7</f>
        <v>0.3</v>
      </c>
      <c r="K7" s="128">
        <f>'biometrics(1yr)'!K7</f>
        <v>0.81</v>
      </c>
      <c r="L7" s="128">
        <f>'biometrics(1yr)'!L7</f>
        <v>0.64</v>
      </c>
      <c r="M7" s="128">
        <f>'biometrics(1yr)'!M7</f>
        <v>0.124</v>
      </c>
      <c r="N7" s="128">
        <f>'biometrics(1yr)'!N7</f>
        <v>0.47826086956521741</v>
      </c>
      <c r="O7" s="128">
        <f>'biometrics(1yr)'!O7</f>
        <v>0.66</v>
      </c>
      <c r="P7" s="128">
        <f>'biometrics(1yr)'!P7</f>
        <v>1</v>
      </c>
      <c r="Q7" s="128">
        <f>'biometrics(1yr)'!Q7</f>
        <v>0.5</v>
      </c>
      <c r="R7" s="128">
        <f>'biometrics(1yr)'!R7</f>
        <v>0.5</v>
      </c>
      <c r="S7" s="128">
        <f>'biometrics(1yr)'!S7</f>
        <v>0.11</v>
      </c>
      <c r="U7" s="192"/>
      <c r="V7" s="194"/>
      <c r="W7" s="194"/>
      <c r="X7" s="194"/>
      <c r="Y7" s="194"/>
      <c r="Z7" s="194"/>
      <c r="AA7" s="194"/>
      <c r="AB7" s="194"/>
      <c r="AC7" s="194"/>
      <c r="AD7" s="194"/>
    </row>
    <row r="8" spans="1:30" ht="30">
      <c r="A8" s="48" t="s">
        <v>15</v>
      </c>
      <c r="B8" s="48"/>
      <c r="C8" s="48"/>
      <c r="D8" s="206">
        <v>13</v>
      </c>
      <c r="E8" s="129">
        <f t="shared" si="0"/>
        <v>0.25</v>
      </c>
      <c r="H8" s="112"/>
      <c r="I8" s="185" t="s">
        <v>157</v>
      </c>
      <c r="J8" s="129">
        <f>E5</f>
        <v>0.5</v>
      </c>
      <c r="K8" s="129">
        <f>E6</f>
        <v>0.5</v>
      </c>
      <c r="L8" s="129">
        <f>E7</f>
        <v>0.53846153846153844</v>
      </c>
      <c r="M8" s="129">
        <f>E8</f>
        <v>0.25</v>
      </c>
      <c r="N8" s="153">
        <f>E12</f>
        <v>3.8461538461538464E-2</v>
      </c>
      <c r="O8" s="153">
        <f>E13</f>
        <v>0.19230769230769232</v>
      </c>
      <c r="P8" s="153">
        <f>E14</f>
        <v>0.5</v>
      </c>
      <c r="Q8" s="153">
        <f>E15</f>
        <v>0.19230769230769232</v>
      </c>
      <c r="R8" s="153">
        <v>0</v>
      </c>
      <c r="S8" s="153">
        <f>E17</f>
        <v>0.21153846153846154</v>
      </c>
      <c r="U8" s="192"/>
      <c r="V8" s="195"/>
      <c r="W8" s="195"/>
      <c r="X8" s="195"/>
      <c r="Y8" s="195"/>
      <c r="Z8" s="195"/>
      <c r="AA8" s="195"/>
      <c r="AB8" s="195"/>
      <c r="AC8" s="195"/>
      <c r="AD8" s="195"/>
    </row>
    <row r="9" spans="1:30" ht="30">
      <c r="A9" s="242" t="s">
        <v>28</v>
      </c>
      <c r="B9" s="242"/>
      <c r="C9" s="242"/>
      <c r="D9" s="242"/>
      <c r="E9" s="242"/>
      <c r="I9" s="185" t="s">
        <v>29</v>
      </c>
      <c r="J9" s="164">
        <f t="shared" ref="J9:S9" si="1">J5*J6*J7*J8</f>
        <v>18.084</v>
      </c>
      <c r="K9" s="164">
        <f t="shared" si="1"/>
        <v>157.46643</v>
      </c>
      <c r="L9" s="165">
        <f t="shared" si="1"/>
        <v>42.066166153846154</v>
      </c>
      <c r="M9" s="166">
        <f t="shared" si="1"/>
        <v>13.688081</v>
      </c>
      <c r="N9" s="164">
        <f t="shared" si="1"/>
        <v>2.8552357859531776</v>
      </c>
      <c r="O9" s="164">
        <f t="shared" si="1"/>
        <v>53.556461538461541</v>
      </c>
      <c r="P9" s="164">
        <f t="shared" si="1"/>
        <v>286.33</v>
      </c>
      <c r="Q9" s="164">
        <f t="shared" si="1"/>
        <v>24.19894230769231</v>
      </c>
      <c r="R9" s="164">
        <f>R5*R6*R7*R8</f>
        <v>0</v>
      </c>
      <c r="S9" s="164">
        <f t="shared" si="1"/>
        <v>35.066730769230773</v>
      </c>
      <c r="U9" s="192"/>
      <c r="V9" s="196"/>
      <c r="W9" s="196"/>
      <c r="X9" s="197"/>
      <c r="Y9" s="196"/>
      <c r="Z9" s="196"/>
      <c r="AA9" s="196"/>
      <c r="AB9" s="196"/>
      <c r="AC9" s="196"/>
      <c r="AD9" s="196"/>
    </row>
    <row r="10" spans="1:30">
      <c r="A10" s="242"/>
      <c r="B10" s="242"/>
      <c r="C10" s="242"/>
      <c r="D10" s="242"/>
      <c r="E10" s="242"/>
      <c r="I10" s="185" t="s">
        <v>30</v>
      </c>
      <c r="J10" s="154">
        <f>'Colorectal Benefit'!$F$16</f>
        <v>17293.082565880046</v>
      </c>
      <c r="K10" s="154">
        <f>'Heart Disease Benefit'!$G$16</f>
        <v>5775.2181929014514</v>
      </c>
      <c r="L10" s="154">
        <f>'Stroke Benefits'!$G$18</f>
        <v>26003.011937672796</v>
      </c>
      <c r="M10" s="154">
        <f>'Hypertension Benefit'!$G$29</f>
        <v>1700.9371327253966</v>
      </c>
      <c r="N10" s="154">
        <f>osteoporosis!$C$35</f>
        <v>85670.525065513924</v>
      </c>
      <c r="O10" s="154">
        <f>'Type 2 Diabeties'!$C$31</f>
        <v>50777.185201500433</v>
      </c>
      <c r="P10" s="154">
        <f>Obesity!$C$45</f>
        <v>30080.075037511851</v>
      </c>
      <c r="Q10" s="154">
        <f>FIGURES!$F$14</f>
        <v>31322.097401202354</v>
      </c>
      <c r="R10" s="154">
        <f>FIGURES!$F$17</f>
        <v>21799.185582999999</v>
      </c>
      <c r="S10" s="154">
        <f>'Data &amp; PV'!$G$12</f>
        <v>2539.229198</v>
      </c>
      <c r="U10" s="192"/>
      <c r="V10" s="198"/>
      <c r="W10" s="198"/>
      <c r="X10" s="198"/>
      <c r="Y10" s="198"/>
      <c r="Z10" s="198"/>
      <c r="AA10" s="198"/>
      <c r="AB10" s="198"/>
      <c r="AC10" s="198"/>
      <c r="AD10" s="198"/>
    </row>
    <row r="11" spans="1:30">
      <c r="A11" s="242"/>
      <c r="B11" s="242"/>
      <c r="C11" s="242"/>
      <c r="D11" s="242"/>
      <c r="E11" s="242"/>
      <c r="I11" s="185" t="s">
        <v>31</v>
      </c>
      <c r="J11" s="243">
        <f t="shared" ref="J11:S11" si="2">J9*J10</f>
        <v>312728.10512137477</v>
      </c>
      <c r="K11" s="243">
        <f t="shared" si="2"/>
        <v>909402.99130724289</v>
      </c>
      <c r="L11" s="245">
        <f t="shared" si="2"/>
        <v>1093847.0206705888</v>
      </c>
      <c r="M11" s="247">
        <f t="shared" si="2"/>
        <v>23282.56524865298</v>
      </c>
      <c r="N11" s="243">
        <f t="shared" si="2"/>
        <v>244609.54896845407</v>
      </c>
      <c r="O11" s="243">
        <f t="shared" si="2"/>
        <v>2719446.3662754963</v>
      </c>
      <c r="P11" s="243">
        <f t="shared" si="2"/>
        <v>8612827.8854907677</v>
      </c>
      <c r="Q11" s="243">
        <f t="shared" si="2"/>
        <v>757961.62796761503</v>
      </c>
      <c r="R11" s="225">
        <f>R9*R10</f>
        <v>0</v>
      </c>
      <c r="S11" s="243">
        <f t="shared" si="2"/>
        <v>89042.466647635782</v>
      </c>
      <c r="U11" s="28"/>
      <c r="V11" s="201"/>
      <c r="W11" s="201"/>
      <c r="X11" s="201"/>
      <c r="Y11" s="201"/>
      <c r="Z11" s="201"/>
      <c r="AA11" s="201"/>
      <c r="AB11" s="201"/>
      <c r="AC11" s="201"/>
      <c r="AD11" s="201"/>
    </row>
    <row r="12" spans="1:30">
      <c r="A12" s="48" t="s">
        <v>16</v>
      </c>
      <c r="B12" s="48"/>
      <c r="C12" s="48"/>
      <c r="D12" s="206">
        <v>2</v>
      </c>
      <c r="E12" s="129">
        <f>(D12/$A$1)</f>
        <v>3.8461538461538464E-2</v>
      </c>
      <c r="H12" s="112"/>
      <c r="I12" s="185"/>
      <c r="J12" s="244"/>
      <c r="K12" s="244"/>
      <c r="L12" s="246"/>
      <c r="M12" s="248"/>
      <c r="N12" s="242"/>
      <c r="O12" s="242"/>
      <c r="P12" s="242"/>
      <c r="Q12" s="242"/>
      <c r="R12" s="226"/>
      <c r="S12" s="242"/>
      <c r="U12" s="28"/>
      <c r="V12" s="202"/>
      <c r="W12" s="202"/>
      <c r="X12" s="202"/>
      <c r="Y12" s="202"/>
      <c r="Z12" s="202"/>
      <c r="AA12" s="202"/>
      <c r="AB12" s="202"/>
      <c r="AC12" s="202"/>
      <c r="AD12" s="202"/>
    </row>
    <row r="13" spans="1:30" s="135" customFormat="1">
      <c r="A13" s="48" t="s">
        <v>32</v>
      </c>
      <c r="B13" s="48"/>
      <c r="C13" s="48"/>
      <c r="D13" s="206">
        <v>10</v>
      </c>
      <c r="E13" s="129">
        <f t="shared" ref="E13:E15" si="3">(D13/$A$1)</f>
        <v>0.19230769230769232</v>
      </c>
      <c r="F13" s="134"/>
      <c r="G13" s="171"/>
      <c r="H13" s="112"/>
      <c r="I13" s="185" t="s">
        <v>33</v>
      </c>
      <c r="J13" s="155">
        <f>SUM(J11:S12)</f>
        <v>14763148.577697828</v>
      </c>
      <c r="K13" s="155"/>
      <c r="L13" s="155"/>
      <c r="M13" s="155"/>
      <c r="N13" s="155"/>
      <c r="O13" s="155"/>
      <c r="P13" s="155"/>
      <c r="Q13" s="155"/>
      <c r="R13" s="155"/>
      <c r="S13" s="204"/>
      <c r="T13" s="240"/>
      <c r="U13" s="189"/>
      <c r="V13" s="199"/>
      <c r="W13" s="199"/>
      <c r="X13" s="199"/>
      <c r="Y13" s="199"/>
      <c r="Z13" s="199"/>
      <c r="AA13" s="199"/>
      <c r="AB13" s="199"/>
      <c r="AC13" s="199"/>
      <c r="AD13" s="199"/>
    </row>
    <row r="14" spans="1:30">
      <c r="A14" s="48" t="s">
        <v>18</v>
      </c>
      <c r="B14" s="48"/>
      <c r="C14" s="48"/>
      <c r="D14" s="206">
        <v>26</v>
      </c>
      <c r="E14" s="129">
        <f t="shared" si="3"/>
        <v>0.5</v>
      </c>
      <c r="H14" s="112"/>
      <c r="I14" s="116"/>
      <c r="J14" s="112"/>
      <c r="K14" s="113"/>
      <c r="L14" s="114"/>
      <c r="M14" s="111"/>
    </row>
    <row r="15" spans="1:30">
      <c r="A15" s="48" t="s">
        <v>34</v>
      </c>
      <c r="B15" s="48"/>
      <c r="C15" s="48"/>
      <c r="D15" s="206">
        <v>10</v>
      </c>
      <c r="E15" s="129">
        <f t="shared" si="3"/>
        <v>0.19230769230769232</v>
      </c>
      <c r="H15" s="112"/>
      <c r="I15" s="116"/>
      <c r="J15" s="112"/>
      <c r="K15" s="113"/>
      <c r="L15" s="114"/>
      <c r="M15" s="111"/>
      <c r="N15" s="79"/>
    </row>
    <row r="16" spans="1:30" ht="22.5" customHeight="1">
      <c r="A16" s="249" t="s">
        <v>35</v>
      </c>
      <c r="B16" s="249"/>
      <c r="C16" s="249"/>
      <c r="D16" s="249"/>
      <c r="E16" s="249"/>
      <c r="I16" s="228"/>
      <c r="J16" s="231"/>
      <c r="K16" s="232"/>
      <c r="L16" s="232"/>
      <c r="M16" s="232"/>
      <c r="N16" s="232"/>
      <c r="O16" s="232"/>
      <c r="P16" s="232"/>
      <c r="Q16" s="232"/>
      <c r="R16" s="232"/>
      <c r="S16" s="233"/>
      <c r="U16" s="28"/>
      <c r="V16" s="203"/>
      <c r="W16" s="203"/>
      <c r="X16" s="203"/>
      <c r="Y16" s="203"/>
      <c r="Z16" s="203"/>
      <c r="AA16" s="203"/>
      <c r="AB16" s="203"/>
      <c r="AC16" s="203"/>
      <c r="AD16" s="203"/>
    </row>
    <row r="17" spans="1:30" ht="15" customHeight="1">
      <c r="A17" s="48" t="s">
        <v>20</v>
      </c>
      <c r="B17" s="48"/>
      <c r="C17" s="48"/>
      <c r="D17" s="206">
        <v>11</v>
      </c>
      <c r="E17" s="129">
        <f>(D17/$A$1)</f>
        <v>0.21153846153846154</v>
      </c>
      <c r="H17" s="112"/>
      <c r="I17" s="229"/>
      <c r="J17" s="234"/>
      <c r="K17" s="235"/>
      <c r="L17" s="235"/>
      <c r="M17" s="235"/>
      <c r="N17" s="235"/>
      <c r="O17" s="235"/>
      <c r="P17" s="235"/>
      <c r="Q17" s="235"/>
      <c r="R17" s="235"/>
      <c r="S17" s="236"/>
      <c r="U17" s="28"/>
      <c r="V17" s="203"/>
      <c r="W17" s="203"/>
      <c r="X17" s="203"/>
      <c r="Y17" s="203"/>
      <c r="Z17" s="203"/>
      <c r="AA17" s="203"/>
      <c r="AB17" s="203"/>
      <c r="AC17" s="203"/>
      <c r="AD17" s="203"/>
    </row>
    <row r="18" spans="1:30" s="79" customFormat="1" ht="15" customHeight="1">
      <c r="A18" s="205"/>
      <c r="B18" s="205"/>
      <c r="C18" s="219"/>
      <c r="D18" s="221">
        <v>2</v>
      </c>
      <c r="E18" s="222">
        <f>(D18/$A$1)</f>
        <v>3.8461538461538464E-2</v>
      </c>
      <c r="G18" s="171"/>
      <c r="H18" s="188"/>
      <c r="I18" s="229"/>
      <c r="J18" s="237"/>
      <c r="K18" s="238"/>
      <c r="L18" s="238"/>
      <c r="M18" s="238"/>
      <c r="N18" s="238"/>
      <c r="O18" s="238"/>
      <c r="P18" s="238"/>
      <c r="Q18" s="238"/>
      <c r="R18" s="238"/>
      <c r="S18" s="239"/>
      <c r="T18" s="240"/>
      <c r="U18" s="28"/>
      <c r="V18" s="203"/>
      <c r="W18" s="203"/>
      <c r="X18" s="203"/>
      <c r="Y18" s="203"/>
      <c r="Z18" s="203"/>
      <c r="AA18" s="203"/>
      <c r="AB18" s="203"/>
      <c r="AC18" s="203"/>
      <c r="AD18" s="203"/>
    </row>
    <row r="19" spans="1:30" s="79" customFormat="1" ht="30" customHeight="1">
      <c r="C19" s="220"/>
      <c r="G19" s="171"/>
      <c r="H19" s="188"/>
      <c r="I19" s="230"/>
      <c r="J19" s="120" t="s">
        <v>12</v>
      </c>
      <c r="K19" s="121" t="s">
        <v>13</v>
      </c>
      <c r="L19" s="122" t="s">
        <v>14</v>
      </c>
      <c r="M19" s="120" t="s">
        <v>15</v>
      </c>
      <c r="N19" s="120" t="s">
        <v>16</v>
      </c>
      <c r="O19" s="120" t="s">
        <v>17</v>
      </c>
      <c r="P19" s="120" t="s">
        <v>18</v>
      </c>
      <c r="Q19" s="120" t="s">
        <v>19</v>
      </c>
      <c r="R19" s="120" t="s">
        <v>83</v>
      </c>
      <c r="S19" s="120" t="s">
        <v>20</v>
      </c>
      <c r="T19" s="240"/>
      <c r="U19" s="28"/>
      <c r="V19" s="189"/>
      <c r="W19" s="190"/>
      <c r="X19" s="191"/>
      <c r="Y19" s="189"/>
      <c r="Z19" s="189"/>
      <c r="AA19" s="189"/>
      <c r="AB19" s="189"/>
      <c r="AC19" s="189"/>
      <c r="AD19" s="189"/>
    </row>
    <row r="20" spans="1:30" s="79" customFormat="1" ht="30" customHeight="1">
      <c r="C20" s="220"/>
      <c r="G20" s="171"/>
      <c r="H20" s="188"/>
      <c r="I20" s="185" t="s">
        <v>22</v>
      </c>
      <c r="J20" s="124">
        <f t="shared" ref="J20:S20" si="4">J5</f>
        <v>1507</v>
      </c>
      <c r="K20" s="125">
        <f t="shared" si="4"/>
        <v>1507</v>
      </c>
      <c r="L20" s="126">
        <f t="shared" si="4"/>
        <v>1507</v>
      </c>
      <c r="M20" s="152">
        <f t="shared" si="4"/>
        <v>1507</v>
      </c>
      <c r="N20" s="206">
        <f t="shared" si="4"/>
        <v>1507</v>
      </c>
      <c r="O20" s="206">
        <f t="shared" si="4"/>
        <v>1507</v>
      </c>
      <c r="P20" s="206">
        <f t="shared" si="4"/>
        <v>1507</v>
      </c>
      <c r="Q20" s="206">
        <f t="shared" si="4"/>
        <v>1507</v>
      </c>
      <c r="R20" s="211">
        <f t="shared" si="4"/>
        <v>1507</v>
      </c>
      <c r="S20" s="206">
        <f t="shared" si="4"/>
        <v>1507</v>
      </c>
      <c r="T20" s="240"/>
      <c r="U20" s="192"/>
      <c r="V20" s="193"/>
      <c r="W20" s="193"/>
      <c r="X20" s="193"/>
      <c r="Y20" s="193"/>
      <c r="Z20" s="193"/>
      <c r="AA20" s="193"/>
      <c r="AB20" s="193"/>
      <c r="AC20" s="193"/>
      <c r="AD20" s="193"/>
    </row>
    <row r="21" spans="1:30" s="79" customFormat="1" ht="30" customHeight="1">
      <c r="C21" s="220"/>
      <c r="G21" s="171"/>
      <c r="H21" s="188"/>
      <c r="I21" s="185" t="s">
        <v>24</v>
      </c>
      <c r="J21" s="127">
        <f t="shared" ref="J21:S21" si="5">J6</f>
        <v>0.08</v>
      </c>
      <c r="K21" s="127">
        <f t="shared" si="5"/>
        <v>0.25800000000000001</v>
      </c>
      <c r="L21" s="127">
        <f t="shared" si="5"/>
        <v>8.1000000000000003E-2</v>
      </c>
      <c r="M21" s="127">
        <f t="shared" si="5"/>
        <v>0.29299999999999998</v>
      </c>
      <c r="N21" s="127">
        <f t="shared" si="5"/>
        <v>0.10299999999999999</v>
      </c>
      <c r="O21" s="127">
        <f t="shared" si="5"/>
        <v>0.28000000000000003</v>
      </c>
      <c r="P21" s="127">
        <f t="shared" si="5"/>
        <v>0.38</v>
      </c>
      <c r="Q21" s="127">
        <f t="shared" si="5"/>
        <v>0.16700000000000001</v>
      </c>
      <c r="R21" s="127">
        <f t="shared" si="5"/>
        <v>8.0199999999999994E-2</v>
      </c>
      <c r="S21" s="127">
        <f t="shared" si="5"/>
        <v>1</v>
      </c>
      <c r="T21" s="240"/>
      <c r="U21" s="192"/>
      <c r="V21" s="194"/>
      <c r="W21" s="194"/>
      <c r="X21" s="194"/>
      <c r="Y21" s="194"/>
      <c r="Z21" s="194"/>
      <c r="AA21" s="194"/>
      <c r="AB21" s="194"/>
      <c r="AC21" s="194"/>
      <c r="AD21" s="194"/>
    </row>
    <row r="22" spans="1:30" s="79" customFormat="1" ht="30" customHeight="1">
      <c r="C22" s="220"/>
      <c r="G22" s="171"/>
      <c r="H22" s="188"/>
      <c r="I22" s="185" t="s">
        <v>156</v>
      </c>
      <c r="J22" s="128">
        <f t="shared" ref="J22:S22" si="6">J7</f>
        <v>0.3</v>
      </c>
      <c r="K22" s="128">
        <f t="shared" si="6"/>
        <v>0.81</v>
      </c>
      <c r="L22" s="128">
        <f t="shared" si="6"/>
        <v>0.64</v>
      </c>
      <c r="M22" s="128">
        <f t="shared" si="6"/>
        <v>0.124</v>
      </c>
      <c r="N22" s="128">
        <f t="shared" si="6"/>
        <v>0.47826086956521741</v>
      </c>
      <c r="O22" s="128">
        <f t="shared" si="6"/>
        <v>0.66</v>
      </c>
      <c r="P22" s="128">
        <f t="shared" si="6"/>
        <v>1</v>
      </c>
      <c r="Q22" s="128">
        <f t="shared" si="6"/>
        <v>0.5</v>
      </c>
      <c r="R22" s="128">
        <f t="shared" si="6"/>
        <v>0.5</v>
      </c>
      <c r="S22" s="128">
        <f t="shared" si="6"/>
        <v>0.11</v>
      </c>
      <c r="T22" s="240"/>
      <c r="U22" s="192"/>
      <c r="V22" s="194"/>
      <c r="W22" s="194"/>
      <c r="X22" s="194"/>
      <c r="Y22" s="194"/>
      <c r="Z22" s="194"/>
      <c r="AA22" s="194"/>
      <c r="AB22" s="194"/>
      <c r="AC22" s="194"/>
      <c r="AD22" s="194"/>
    </row>
    <row r="23" spans="1:30" s="79" customFormat="1" ht="30" customHeight="1">
      <c r="C23" s="220"/>
      <c r="G23" s="171"/>
      <c r="H23" s="188"/>
      <c r="I23" s="185" t="s">
        <v>157</v>
      </c>
      <c r="J23" s="129">
        <f t="shared" ref="J23:S23" si="7">J8</f>
        <v>0.5</v>
      </c>
      <c r="K23" s="129">
        <f t="shared" si="7"/>
        <v>0.5</v>
      </c>
      <c r="L23" s="129">
        <f t="shared" si="7"/>
        <v>0.53846153846153844</v>
      </c>
      <c r="M23" s="129">
        <f t="shared" si="7"/>
        <v>0.25</v>
      </c>
      <c r="N23" s="153">
        <f t="shared" si="7"/>
        <v>3.8461538461538464E-2</v>
      </c>
      <c r="O23" s="153">
        <f t="shared" si="7"/>
        <v>0.19230769230769232</v>
      </c>
      <c r="P23" s="153">
        <f t="shared" si="7"/>
        <v>0.5</v>
      </c>
      <c r="Q23" s="153">
        <f t="shared" si="7"/>
        <v>0.19230769230769232</v>
      </c>
      <c r="R23" s="153">
        <f t="shared" si="7"/>
        <v>0</v>
      </c>
      <c r="S23" s="153">
        <f t="shared" si="7"/>
        <v>0.21153846153846154</v>
      </c>
      <c r="T23" s="240"/>
      <c r="U23" s="192"/>
      <c r="V23" s="195"/>
      <c r="W23" s="195"/>
      <c r="X23" s="195"/>
      <c r="Y23" s="195"/>
      <c r="Z23" s="195"/>
      <c r="AA23" s="195"/>
      <c r="AB23" s="195"/>
      <c r="AC23" s="195"/>
      <c r="AD23" s="195"/>
    </row>
    <row r="24" spans="1:30" s="79" customFormat="1" ht="30" customHeight="1">
      <c r="C24" s="220"/>
      <c r="G24" s="171"/>
      <c r="H24" s="188"/>
      <c r="I24" s="185" t="s">
        <v>29</v>
      </c>
      <c r="J24" s="164">
        <f t="shared" ref="J24:S24" si="8">J9</f>
        <v>18.084</v>
      </c>
      <c r="K24" s="164">
        <f t="shared" si="8"/>
        <v>157.46643</v>
      </c>
      <c r="L24" s="165">
        <f t="shared" si="8"/>
        <v>42.066166153846154</v>
      </c>
      <c r="M24" s="166">
        <f t="shared" si="8"/>
        <v>13.688081</v>
      </c>
      <c r="N24" s="164">
        <f t="shared" si="8"/>
        <v>2.8552357859531776</v>
      </c>
      <c r="O24" s="164">
        <f t="shared" si="8"/>
        <v>53.556461538461541</v>
      </c>
      <c r="P24" s="164">
        <f t="shared" si="8"/>
        <v>286.33</v>
      </c>
      <c r="Q24" s="164">
        <f t="shared" si="8"/>
        <v>24.19894230769231</v>
      </c>
      <c r="R24" s="164">
        <f t="shared" si="8"/>
        <v>0</v>
      </c>
      <c r="S24" s="164">
        <f t="shared" si="8"/>
        <v>35.066730769230773</v>
      </c>
      <c r="T24" s="240"/>
      <c r="U24" s="192"/>
      <c r="V24" s="196"/>
      <c r="W24" s="196"/>
      <c r="X24" s="197"/>
      <c r="Y24" s="196"/>
      <c r="Z24" s="196"/>
      <c r="AA24" s="196"/>
      <c r="AB24" s="196"/>
      <c r="AC24" s="196"/>
      <c r="AD24" s="196"/>
    </row>
    <row r="25" spans="1:30" s="79" customFormat="1" ht="30" customHeight="1">
      <c r="C25" s="220"/>
      <c r="G25" s="171"/>
      <c r="H25" s="188"/>
      <c r="I25" s="185" t="s">
        <v>39</v>
      </c>
      <c r="J25" s="155">
        <f>'Colorectal Benefit'!$R$15</f>
        <v>1441.3781090124412</v>
      </c>
      <c r="K25" s="155">
        <f>'Heart Disease Benefit'!$S$16</f>
        <v>1332.6418077395683</v>
      </c>
      <c r="L25" s="155">
        <f>'Stroke Benefits'!$U$18</f>
        <v>4265.2771383769777</v>
      </c>
      <c r="M25" s="155">
        <f>'Hypertension Benefit'!$S$29</f>
        <v>4903.9041707009201</v>
      </c>
      <c r="N25" s="155">
        <f>osteoporosis!$M$22</f>
        <v>2333.4852399999468</v>
      </c>
      <c r="O25" s="155">
        <f>'Type 2 Diabeties'!$Q$18</f>
        <v>2349.6673112603353</v>
      </c>
      <c r="P25" s="155">
        <f>Obesity!$N$32</f>
        <v>2679.2700404212778</v>
      </c>
      <c r="Q25" s="155">
        <f>FIGURES!$G$14</f>
        <v>1296.1370713710346</v>
      </c>
      <c r="R25" s="155"/>
      <c r="S25" s="204">
        <v>0</v>
      </c>
      <c r="T25" s="240"/>
      <c r="U25" s="192"/>
      <c r="V25" s="200"/>
      <c r="W25" s="200"/>
      <c r="X25" s="200"/>
      <c r="Y25" s="200"/>
      <c r="Z25" s="200"/>
      <c r="AA25" s="200"/>
      <c r="AB25" s="200"/>
      <c r="AC25" s="200"/>
      <c r="AD25" s="184"/>
    </row>
    <row r="26" spans="1:30" s="79" customFormat="1">
      <c r="C26" s="220"/>
      <c r="G26" s="171"/>
      <c r="H26" s="188"/>
      <c r="I26" s="256" t="s">
        <v>40</v>
      </c>
      <c r="J26" s="225">
        <f t="shared" ref="J26:S26" si="9">J24*J25</f>
        <v>26065.881723380986</v>
      </c>
      <c r="K26" s="225">
        <f t="shared" si="9"/>
        <v>209846.3479334962</v>
      </c>
      <c r="L26" s="257">
        <f t="shared" si="9"/>
        <v>179423.8567951674</v>
      </c>
      <c r="M26" s="259">
        <f t="shared" si="9"/>
        <v>67125.037504792024</v>
      </c>
      <c r="N26" s="225">
        <f t="shared" si="9"/>
        <v>6662.6505632413873</v>
      </c>
      <c r="O26" s="225">
        <f t="shared" si="9"/>
        <v>125839.86698369449</v>
      </c>
      <c r="P26" s="225">
        <f t="shared" si="9"/>
        <v>767155.39067382447</v>
      </c>
      <c r="Q26" s="225">
        <f t="shared" si="9"/>
        <v>31365.146212968935</v>
      </c>
      <c r="R26" s="209"/>
      <c r="S26" s="225">
        <f t="shared" si="9"/>
        <v>0</v>
      </c>
      <c r="T26" s="240"/>
      <c r="U26" s="28"/>
      <c r="V26" s="201"/>
      <c r="W26" s="201"/>
      <c r="X26" s="201"/>
      <c r="Y26" s="201"/>
      <c r="Z26" s="201"/>
      <c r="AA26" s="201"/>
      <c r="AB26" s="201"/>
      <c r="AC26" s="201"/>
      <c r="AD26" s="201"/>
    </row>
    <row r="27" spans="1:30" s="79" customFormat="1">
      <c r="G27" s="171"/>
      <c r="H27" s="188"/>
      <c r="I27" s="256"/>
      <c r="J27" s="226"/>
      <c r="K27" s="226"/>
      <c r="L27" s="258"/>
      <c r="M27" s="260"/>
      <c r="N27" s="226"/>
      <c r="O27" s="226"/>
      <c r="P27" s="226"/>
      <c r="Q27" s="226"/>
      <c r="R27" s="210"/>
      <c r="S27" s="226"/>
      <c r="T27" s="240"/>
      <c r="U27" s="28"/>
      <c r="V27" s="202"/>
      <c r="W27" s="202"/>
      <c r="X27" s="202"/>
      <c r="Y27" s="202"/>
      <c r="Z27" s="202"/>
      <c r="AA27" s="202"/>
      <c r="AB27" s="202"/>
      <c r="AC27" s="202"/>
      <c r="AD27" s="202"/>
    </row>
    <row r="28" spans="1:30" s="79" customFormat="1">
      <c r="G28" s="171"/>
      <c r="H28" s="188"/>
      <c r="I28" s="186" t="s">
        <v>41</v>
      </c>
      <c r="J28" s="155">
        <f>SUM(J26:S27)</f>
        <v>1413484.1783905658</v>
      </c>
      <c r="K28" s="155"/>
      <c r="L28" s="155"/>
      <c r="M28" s="155"/>
      <c r="N28" s="155"/>
      <c r="O28" s="155"/>
      <c r="P28" s="155"/>
      <c r="Q28" s="155"/>
      <c r="R28" s="155"/>
      <c r="S28" s="204"/>
      <c r="T28" s="240"/>
      <c r="U28" s="189"/>
      <c r="V28" s="199"/>
      <c r="W28" s="199"/>
      <c r="X28" s="199"/>
      <c r="Y28" s="199"/>
      <c r="Z28" s="199"/>
      <c r="AA28" s="199"/>
      <c r="AB28" s="199"/>
      <c r="AC28" s="199"/>
      <c r="AD28" s="199"/>
    </row>
    <row r="29" spans="1:30" s="79" customFormat="1">
      <c r="G29" s="171"/>
      <c r="H29" s="188"/>
      <c r="I29" s="145"/>
      <c r="J29" s="111"/>
      <c r="K29" s="111"/>
      <c r="L29" s="111"/>
      <c r="M29" s="111"/>
      <c r="T29" s="240"/>
      <c r="U29" s="25"/>
      <c r="V29" s="25"/>
      <c r="W29" s="25"/>
      <c r="X29" s="25"/>
      <c r="Y29" s="25"/>
      <c r="Z29" s="25"/>
      <c r="AA29" s="25"/>
      <c r="AB29" s="25"/>
      <c r="AC29" s="25"/>
      <c r="AD29" s="25"/>
    </row>
    <row r="30" spans="1:30" s="79" customFormat="1">
      <c r="G30" s="171"/>
      <c r="H30" s="188"/>
      <c r="I30" s="145"/>
      <c r="J30" s="111"/>
      <c r="K30" s="111"/>
      <c r="L30" s="111"/>
      <c r="M30" s="111"/>
      <c r="T30" s="240"/>
      <c r="U30" s="25"/>
      <c r="V30" s="25"/>
      <c r="W30" s="25"/>
      <c r="X30" s="25"/>
      <c r="Y30" s="25"/>
      <c r="Z30" s="25"/>
      <c r="AA30" s="25"/>
      <c r="AB30" s="25"/>
      <c r="AC30" s="25"/>
      <c r="AD30" s="25"/>
    </row>
    <row r="31" spans="1:30" s="79" customFormat="1">
      <c r="G31" s="171"/>
      <c r="H31" s="188"/>
      <c r="I31" s="145"/>
      <c r="J31" s="161">
        <f t="shared" ref="J31:S31" si="10">J11+J26</f>
        <v>338793.98684475577</v>
      </c>
      <c r="K31" s="161">
        <f t="shared" si="10"/>
        <v>1119249.3392407391</v>
      </c>
      <c r="L31" s="161">
        <f t="shared" si="10"/>
        <v>1273270.8774657561</v>
      </c>
      <c r="M31" s="161">
        <f t="shared" si="10"/>
        <v>90407.602753445011</v>
      </c>
      <c r="N31" s="161">
        <f t="shared" si="10"/>
        <v>251272.19953169546</v>
      </c>
      <c r="O31" s="161">
        <f t="shared" si="10"/>
        <v>2845286.2332591908</v>
      </c>
      <c r="P31" s="161">
        <f t="shared" si="10"/>
        <v>9379983.2761645913</v>
      </c>
      <c r="Q31" s="161">
        <f t="shared" si="10"/>
        <v>789326.77418058401</v>
      </c>
      <c r="R31" s="161">
        <f t="shared" si="10"/>
        <v>0</v>
      </c>
      <c r="S31" s="161">
        <f t="shared" si="10"/>
        <v>89042.466647635782</v>
      </c>
      <c r="T31" s="240"/>
      <c r="U31" s="25"/>
      <c r="V31" s="25"/>
      <c r="W31" s="25"/>
      <c r="X31" s="25"/>
      <c r="Y31" s="25"/>
      <c r="Z31" s="25"/>
      <c r="AA31" s="25"/>
      <c r="AB31" s="25"/>
      <c r="AC31" s="25"/>
      <c r="AD31" s="25"/>
    </row>
    <row r="32" spans="1:30" s="79" customFormat="1">
      <c r="G32" s="171"/>
      <c r="H32" s="188"/>
      <c r="I32" s="145"/>
      <c r="J32" s="111">
        <v>338793.98684475577</v>
      </c>
      <c r="K32" s="111">
        <v>1119249.3392407391</v>
      </c>
      <c r="L32" s="111">
        <v>1273270.8774657561</v>
      </c>
      <c r="M32" s="111">
        <v>90407.602753445011</v>
      </c>
      <c r="N32" s="79">
        <v>251272.19953169546</v>
      </c>
      <c r="O32" s="79">
        <v>2845286.2332591908</v>
      </c>
      <c r="P32" s="79">
        <v>9379983.2761645913</v>
      </c>
      <c r="Q32" s="79">
        <v>789326.77418058401</v>
      </c>
      <c r="R32" s="79">
        <v>658670.02210529894</v>
      </c>
      <c r="S32" s="79">
        <v>89042.466647635782</v>
      </c>
      <c r="T32" s="240"/>
      <c r="U32" s="25"/>
      <c r="V32" s="25"/>
      <c r="W32" s="25"/>
      <c r="X32" s="25"/>
      <c r="Y32" s="25"/>
      <c r="Z32" s="25"/>
      <c r="AA32" s="25"/>
      <c r="AB32" s="25"/>
      <c r="AC32" s="25"/>
      <c r="AD32" s="25"/>
    </row>
    <row r="33" spans="4:30" s="79" customFormat="1">
      <c r="G33" s="171"/>
      <c r="H33" s="188"/>
      <c r="I33" s="145"/>
      <c r="J33" s="111" t="s">
        <v>3</v>
      </c>
      <c r="K33" s="111"/>
      <c r="L33" s="111"/>
      <c r="M33" s="111"/>
      <c r="T33" s="240"/>
      <c r="U33" s="25"/>
      <c r="V33" s="25"/>
      <c r="W33" s="25"/>
      <c r="X33" s="25"/>
      <c r="Y33" s="25"/>
      <c r="Z33" s="25"/>
      <c r="AA33" s="25"/>
      <c r="AB33" s="25"/>
      <c r="AC33" s="25"/>
      <c r="AD33" s="25"/>
    </row>
    <row r="34" spans="4:30" s="79" customFormat="1">
      <c r="G34" s="171"/>
      <c r="H34" s="188"/>
      <c r="I34" s="79" t="s">
        <v>42</v>
      </c>
      <c r="J34" s="79">
        <v>1507</v>
      </c>
      <c r="L34" s="111"/>
      <c r="M34" s="111"/>
      <c r="T34" s="240"/>
      <c r="U34" s="25"/>
      <c r="V34" s="25"/>
      <c r="W34" s="25"/>
      <c r="X34" s="25"/>
      <c r="Y34" s="25"/>
      <c r="Z34" s="25"/>
      <c r="AA34" s="25"/>
      <c r="AB34" s="25"/>
      <c r="AC34" s="25"/>
      <c r="AD34" s="25"/>
    </row>
    <row r="35" spans="4:30" s="79" customFormat="1">
      <c r="D35" s="108"/>
      <c r="E35" s="144"/>
      <c r="G35" s="171"/>
      <c r="H35" s="188"/>
      <c r="I35" s="145" t="s">
        <v>43</v>
      </c>
      <c r="J35" s="89">
        <f>$J$13</f>
        <v>14763148.577697828</v>
      </c>
      <c r="K35" s="161"/>
      <c r="L35" s="161"/>
      <c r="M35" s="111"/>
      <c r="T35" s="240"/>
      <c r="U35" s="25"/>
      <c r="V35" s="25"/>
      <c r="W35" s="25"/>
      <c r="X35" s="25"/>
      <c r="Y35" s="25"/>
      <c r="Z35" s="25"/>
      <c r="AA35" s="25"/>
      <c r="AB35" s="25"/>
      <c r="AC35" s="25"/>
      <c r="AD35" s="25"/>
    </row>
    <row r="36" spans="4:30" s="79" customFormat="1">
      <c r="D36" s="250" t="s">
        <v>36</v>
      </c>
      <c r="E36" s="253" t="s">
        <v>37</v>
      </c>
      <c r="G36" s="171"/>
      <c r="H36" s="188"/>
      <c r="I36" s="145" t="s">
        <v>44</v>
      </c>
      <c r="J36" s="89">
        <f>(J35/J34)</f>
        <v>9796.3825996667747</v>
      </c>
      <c r="K36" s="161"/>
      <c r="L36" s="161"/>
      <c r="M36" s="111"/>
      <c r="T36" s="240"/>
      <c r="U36" s="25"/>
      <c r="V36" s="25"/>
      <c r="W36" s="25"/>
      <c r="X36" s="25"/>
      <c r="Y36" s="25"/>
      <c r="Z36" s="25"/>
      <c r="AA36" s="25"/>
      <c r="AB36" s="25"/>
      <c r="AC36" s="25"/>
      <c r="AD36" s="25"/>
    </row>
    <row r="37" spans="4:30" s="79" customFormat="1">
      <c r="D37" s="251"/>
      <c r="E37" s="254"/>
      <c r="G37" s="171"/>
      <c r="H37" s="188"/>
      <c r="I37" s="145" t="s">
        <v>45</v>
      </c>
      <c r="J37" s="89">
        <f>$J$28</f>
        <v>1413484.1783905658</v>
      </c>
      <c r="K37" s="161"/>
      <c r="L37" s="161"/>
      <c r="M37" s="111"/>
      <c r="T37" s="240"/>
      <c r="U37" s="25"/>
      <c r="V37" s="25"/>
      <c r="W37" s="25"/>
      <c r="X37" s="25"/>
      <c r="Y37" s="25"/>
      <c r="Z37" s="25"/>
      <c r="AA37" s="25"/>
      <c r="AB37" s="25"/>
      <c r="AC37" s="25"/>
      <c r="AD37" s="25"/>
    </row>
    <row r="38" spans="4:30" s="79" customFormat="1">
      <c r="D38" s="251"/>
      <c r="E38" s="254"/>
      <c r="G38" s="171"/>
      <c r="H38" s="188"/>
      <c r="I38" s="145" t="s">
        <v>46</v>
      </c>
      <c r="J38" s="89">
        <f>(J37/J34)</f>
        <v>937.94570563408479</v>
      </c>
      <c r="K38" s="161"/>
      <c r="L38" s="161"/>
      <c r="M38" s="111"/>
      <c r="T38" s="240"/>
      <c r="U38" s="25"/>
      <c r="V38" s="25"/>
      <c r="W38" s="25"/>
      <c r="X38" s="25"/>
      <c r="Y38" s="25"/>
      <c r="Z38" s="25"/>
      <c r="AA38" s="25"/>
      <c r="AB38" s="25"/>
      <c r="AC38" s="25"/>
      <c r="AD38" s="25"/>
    </row>
    <row r="39" spans="4:30" s="79" customFormat="1">
      <c r="D39" s="251"/>
      <c r="E39" s="254"/>
      <c r="G39" s="171"/>
      <c r="H39" s="188"/>
      <c r="I39" s="145" t="s">
        <v>47</v>
      </c>
      <c r="J39" s="89">
        <f>SUM(J35,J37)</f>
        <v>16176632.756088395</v>
      </c>
      <c r="K39" s="161"/>
      <c r="L39" s="161"/>
      <c r="M39" s="111"/>
      <c r="T39" s="240"/>
      <c r="U39" s="25"/>
      <c r="V39" s="25"/>
      <c r="W39" s="25"/>
      <c r="X39" s="25"/>
      <c r="Y39" s="25"/>
      <c r="Z39" s="25"/>
      <c r="AA39" s="25"/>
      <c r="AB39" s="25"/>
      <c r="AC39" s="25"/>
      <c r="AD39" s="25"/>
    </row>
    <row r="40" spans="4:30" s="79" customFormat="1">
      <c r="D40" s="251"/>
      <c r="E40" s="254"/>
      <c r="G40" s="171"/>
      <c r="H40" s="188"/>
      <c r="I40" s="145" t="s">
        <v>48</v>
      </c>
      <c r="J40" s="89">
        <f>J39/J34</f>
        <v>10734.32830530086</v>
      </c>
      <c r="K40" s="161"/>
      <c r="L40" s="161"/>
      <c r="M40" s="111"/>
      <c r="T40" s="240"/>
      <c r="U40" s="25"/>
      <c r="V40" s="25"/>
      <c r="W40" s="25"/>
      <c r="X40" s="25"/>
      <c r="Y40" s="25"/>
      <c r="Z40" s="25"/>
      <c r="AA40" s="25"/>
      <c r="AB40" s="25"/>
      <c r="AC40" s="25"/>
      <c r="AD40" s="25"/>
    </row>
    <row r="41" spans="4:30" s="79" customFormat="1">
      <c r="D41" s="251"/>
      <c r="E41" s="254"/>
      <c r="G41" s="171"/>
      <c r="H41" s="188"/>
      <c r="I41" s="145" t="s">
        <v>49</v>
      </c>
      <c r="J41" s="89">
        <v>1822135.8199999998</v>
      </c>
      <c r="K41" s="162"/>
      <c r="L41" s="162"/>
      <c r="M41" s="111"/>
      <c r="T41" s="240"/>
      <c r="U41" s="25"/>
      <c r="V41" s="25"/>
      <c r="W41" s="25"/>
      <c r="X41" s="25"/>
      <c r="Y41" s="25"/>
      <c r="Z41" s="25"/>
      <c r="AA41" s="25"/>
      <c r="AB41" s="25"/>
      <c r="AC41" s="25"/>
      <c r="AD41" s="25"/>
    </row>
    <row r="42" spans="4:30" s="79" customFormat="1">
      <c r="D42" s="251"/>
      <c r="E42" s="254"/>
      <c r="G42" s="171"/>
      <c r="H42" s="188"/>
      <c r="I42" s="145" t="s">
        <v>50</v>
      </c>
      <c r="J42" s="89">
        <f>J41/J34</f>
        <v>1209.1146781685466</v>
      </c>
      <c r="K42" s="162"/>
      <c r="L42" s="162"/>
      <c r="M42" s="111"/>
      <c r="T42" s="240"/>
      <c r="U42" s="25"/>
      <c r="V42" s="25"/>
      <c r="W42" s="25"/>
      <c r="X42" s="25"/>
      <c r="Y42" s="25"/>
      <c r="Z42" s="25"/>
      <c r="AA42" s="25"/>
      <c r="AB42" s="25"/>
      <c r="AC42" s="25"/>
      <c r="AD42" s="25"/>
    </row>
    <row r="43" spans="4:30" s="79" customFormat="1">
      <c r="D43" s="251"/>
      <c r="E43" s="254"/>
      <c r="G43" s="171"/>
      <c r="H43" s="188"/>
      <c r="I43" s="145" t="s">
        <v>51</v>
      </c>
      <c r="J43" s="207">
        <f>J40/J42</f>
        <v>8.8778413653535431</v>
      </c>
      <c r="K43" s="163"/>
      <c r="L43" s="111"/>
      <c r="M43" s="111"/>
      <c r="T43" s="240"/>
      <c r="U43" s="25"/>
      <c r="V43" s="25"/>
      <c r="W43" s="25"/>
      <c r="X43" s="25"/>
      <c r="Y43" s="25"/>
      <c r="Z43" s="25"/>
      <c r="AA43" s="25"/>
      <c r="AB43" s="25"/>
      <c r="AC43" s="25"/>
      <c r="AD43" s="25"/>
    </row>
    <row r="44" spans="4:30" s="79" customFormat="1">
      <c r="D44" s="251"/>
      <c r="E44" s="254"/>
      <c r="G44" s="171"/>
      <c r="H44" s="188"/>
      <c r="I44" s="145"/>
      <c r="J44" s="111"/>
      <c r="K44" s="111"/>
      <c r="L44" s="111"/>
      <c r="M44" s="111"/>
      <c r="T44" s="240"/>
      <c r="U44" s="25"/>
      <c r="V44" s="25"/>
      <c r="W44" s="25"/>
      <c r="X44" s="25"/>
      <c r="Y44" s="25"/>
      <c r="Z44" s="25"/>
      <c r="AA44" s="25"/>
      <c r="AB44" s="25"/>
      <c r="AC44" s="25"/>
      <c r="AD44" s="25"/>
    </row>
    <row r="45" spans="4:30" s="79" customFormat="1">
      <c r="D45" s="251"/>
      <c r="E45" s="254"/>
      <c r="G45" s="171"/>
      <c r="H45" s="188"/>
      <c r="I45" s="145"/>
      <c r="J45" s="111">
        <v>338793.98684475577</v>
      </c>
      <c r="K45" s="111">
        <v>1119249.3392407391</v>
      </c>
      <c r="L45" s="111">
        <v>1273270.8774657561</v>
      </c>
      <c r="M45" s="111">
        <v>90407.602753445011</v>
      </c>
      <c r="N45" s="79">
        <v>251272.19953169546</v>
      </c>
      <c r="O45" s="79">
        <v>2845286.2332591908</v>
      </c>
      <c r="P45" s="79">
        <v>9379983.2761645913</v>
      </c>
      <c r="Q45" s="79">
        <v>789326.77418058401</v>
      </c>
      <c r="R45" s="79">
        <v>50666.924777330692</v>
      </c>
      <c r="S45" s="79">
        <v>89042.466647635782</v>
      </c>
      <c r="T45" s="240"/>
      <c r="U45" s="25"/>
      <c r="V45" s="25"/>
      <c r="W45" s="25"/>
      <c r="X45" s="25"/>
      <c r="Y45" s="25"/>
      <c r="Z45" s="25"/>
      <c r="AA45" s="25"/>
      <c r="AB45" s="25"/>
      <c r="AC45" s="25"/>
      <c r="AD45" s="25"/>
    </row>
    <row r="46" spans="4:30" s="79" customFormat="1">
      <c r="D46" s="251"/>
      <c r="E46" s="254"/>
      <c r="G46" s="171"/>
      <c r="H46" s="188"/>
      <c r="I46" s="145"/>
      <c r="J46" s="111"/>
      <c r="K46" s="111"/>
      <c r="L46" s="111"/>
      <c r="M46" s="111"/>
      <c r="T46" s="240"/>
      <c r="U46" s="25"/>
      <c r="V46" s="25"/>
      <c r="W46" s="25"/>
      <c r="X46" s="25"/>
      <c r="Y46" s="25"/>
      <c r="Z46" s="25"/>
      <c r="AA46" s="25"/>
      <c r="AB46" s="25"/>
      <c r="AC46" s="25"/>
      <c r="AD46" s="25"/>
    </row>
    <row r="47" spans="4:30" s="79" customFormat="1">
      <c r="D47" s="251"/>
      <c r="E47" s="254"/>
      <c r="G47" s="171"/>
      <c r="H47" s="188"/>
      <c r="I47" s="145"/>
      <c r="J47" s="111"/>
      <c r="K47" s="111"/>
      <c r="L47" s="111"/>
      <c r="M47" s="111"/>
      <c r="T47" s="240"/>
      <c r="U47" s="25"/>
      <c r="V47" s="25"/>
      <c r="W47" s="25"/>
      <c r="X47" s="25"/>
      <c r="Y47" s="25"/>
      <c r="Z47" s="25"/>
      <c r="AA47" s="25"/>
      <c r="AB47" s="25"/>
      <c r="AC47" s="25"/>
      <c r="AD47" s="25"/>
    </row>
    <row r="48" spans="4:30" s="79" customFormat="1">
      <c r="D48" s="251"/>
      <c r="E48" s="254"/>
      <c r="G48" s="171"/>
      <c r="H48" s="188"/>
      <c r="I48" s="145"/>
      <c r="J48" s="111"/>
      <c r="K48" s="111"/>
      <c r="L48" s="111"/>
      <c r="M48" s="111"/>
      <c r="T48" s="240"/>
      <c r="U48" s="25"/>
      <c r="V48" s="25"/>
      <c r="W48" s="25"/>
      <c r="X48" s="25"/>
      <c r="Y48" s="25"/>
      <c r="Z48" s="25"/>
      <c r="AA48" s="25"/>
      <c r="AB48" s="25"/>
      <c r="AC48" s="25"/>
      <c r="AD48" s="25"/>
    </row>
    <row r="49" spans="4:30" s="79" customFormat="1">
      <c r="D49" s="251"/>
      <c r="E49" s="254"/>
      <c r="G49" s="171"/>
      <c r="H49" s="188"/>
      <c r="I49" s="145"/>
      <c r="J49" s="111"/>
      <c r="K49" s="111"/>
      <c r="L49" s="111"/>
      <c r="M49" s="111"/>
      <c r="T49" s="240"/>
      <c r="U49" s="25"/>
      <c r="V49" s="25"/>
      <c r="W49" s="25"/>
      <c r="X49" s="25"/>
      <c r="Y49" s="25"/>
      <c r="Z49" s="25"/>
      <c r="AA49" s="25"/>
      <c r="AB49" s="25"/>
      <c r="AC49" s="25"/>
      <c r="AD49" s="25"/>
    </row>
    <row r="50" spans="4:30" s="79" customFormat="1">
      <c r="D50" s="251"/>
      <c r="E50" s="254"/>
      <c r="G50" s="171"/>
      <c r="H50" s="188"/>
      <c r="I50" s="145"/>
      <c r="J50" s="111"/>
      <c r="K50" s="111"/>
      <c r="L50" s="111"/>
      <c r="M50" s="111"/>
      <c r="T50" s="240"/>
      <c r="U50" s="25"/>
      <c r="V50" s="25"/>
      <c r="W50" s="25"/>
      <c r="X50" s="25"/>
      <c r="Y50" s="25"/>
      <c r="Z50" s="25"/>
      <c r="AA50" s="25"/>
      <c r="AB50" s="25"/>
      <c r="AC50" s="25"/>
      <c r="AD50" s="25"/>
    </row>
    <row r="51" spans="4:30" s="79" customFormat="1">
      <c r="D51" s="251"/>
      <c r="E51" s="254"/>
      <c r="G51" s="171"/>
      <c r="H51" s="188"/>
      <c r="I51" s="145"/>
      <c r="J51" s="111"/>
      <c r="K51" s="111"/>
      <c r="L51" s="111"/>
      <c r="M51" s="111"/>
      <c r="T51" s="240"/>
      <c r="U51" s="25"/>
      <c r="V51" s="25"/>
      <c r="W51" s="25"/>
      <c r="X51" s="25"/>
      <c r="Y51" s="25"/>
      <c r="Z51" s="25"/>
      <c r="AA51" s="25"/>
      <c r="AB51" s="25"/>
      <c r="AC51" s="25"/>
      <c r="AD51" s="25"/>
    </row>
    <row r="52" spans="4:30" s="79" customFormat="1">
      <c r="D52" s="252"/>
      <c r="E52" s="255"/>
      <c r="G52" s="171"/>
      <c r="H52" s="188"/>
      <c r="I52" s="145"/>
      <c r="J52" s="111"/>
      <c r="K52" s="111"/>
      <c r="L52" s="111"/>
      <c r="M52" s="111"/>
      <c r="T52" s="240"/>
      <c r="U52" s="25"/>
      <c r="V52" s="25"/>
      <c r="W52" s="25"/>
      <c r="X52" s="25"/>
      <c r="Y52" s="25"/>
      <c r="Z52" s="25"/>
      <c r="AA52" s="25"/>
      <c r="AB52" s="25"/>
      <c r="AC52" s="25"/>
      <c r="AD52" s="25"/>
    </row>
    <row r="53" spans="4:30" s="79" customFormat="1">
      <c r="D53" s="108"/>
      <c r="E53" s="144"/>
      <c r="G53" s="171"/>
      <c r="H53" s="188"/>
      <c r="I53" s="145"/>
      <c r="J53" s="111"/>
      <c r="K53" s="111"/>
      <c r="L53" s="111"/>
      <c r="M53" s="111"/>
      <c r="T53" s="240"/>
      <c r="U53" s="25"/>
      <c r="V53" s="25"/>
      <c r="W53" s="25"/>
      <c r="X53" s="25"/>
      <c r="Y53" s="25"/>
      <c r="Z53" s="25"/>
      <c r="AA53" s="25"/>
      <c r="AB53" s="25"/>
      <c r="AC53" s="25"/>
      <c r="AD53" s="25"/>
    </row>
    <row r="54" spans="4:30" s="79" customFormat="1">
      <c r="D54" s="108"/>
      <c r="E54" s="144"/>
      <c r="G54" s="171"/>
      <c r="H54" s="188"/>
      <c r="I54" s="145"/>
      <c r="J54" s="111"/>
      <c r="K54" s="111"/>
      <c r="L54" s="111"/>
      <c r="M54" s="111"/>
      <c r="T54" s="240"/>
      <c r="U54" s="25"/>
      <c r="V54" s="25"/>
      <c r="W54" s="25"/>
      <c r="X54" s="25"/>
      <c r="Y54" s="25"/>
      <c r="Z54" s="25"/>
      <c r="AA54" s="25"/>
      <c r="AB54" s="25"/>
      <c r="AC54" s="25"/>
      <c r="AD54" s="25"/>
    </row>
    <row r="55" spans="4:30" s="79" customFormat="1">
      <c r="D55" s="108"/>
      <c r="E55" s="144"/>
      <c r="G55" s="171"/>
      <c r="H55" s="188"/>
      <c r="I55" s="145"/>
      <c r="J55" s="111"/>
      <c r="K55" s="111"/>
      <c r="L55" s="111"/>
      <c r="M55" s="111"/>
      <c r="T55" s="240"/>
      <c r="U55" s="25"/>
      <c r="V55" s="25"/>
      <c r="W55" s="25"/>
      <c r="X55" s="25"/>
      <c r="Y55" s="25"/>
      <c r="Z55" s="25"/>
      <c r="AA55" s="25"/>
      <c r="AB55" s="25"/>
      <c r="AC55" s="25"/>
      <c r="AD55" s="25"/>
    </row>
    <row r="56" spans="4:30" s="79" customFormat="1">
      <c r="D56" s="108"/>
      <c r="E56" s="144"/>
      <c r="G56" s="171"/>
      <c r="H56" s="188"/>
      <c r="I56" s="145"/>
      <c r="J56" s="111"/>
      <c r="K56" s="111"/>
      <c r="L56" s="111"/>
      <c r="M56" s="111"/>
      <c r="T56" s="240"/>
      <c r="U56" s="25"/>
      <c r="V56" s="25"/>
      <c r="W56" s="25"/>
      <c r="X56" s="25"/>
      <c r="Y56" s="25"/>
      <c r="Z56" s="25"/>
      <c r="AA56" s="25"/>
      <c r="AB56" s="25"/>
      <c r="AC56" s="25"/>
      <c r="AD56" s="25"/>
    </row>
    <row r="57" spans="4:30" s="79" customFormat="1">
      <c r="D57" s="108"/>
      <c r="E57" s="144"/>
      <c r="G57" s="171"/>
      <c r="H57" s="188"/>
      <c r="I57" s="145"/>
      <c r="J57" s="111"/>
      <c r="K57" s="111"/>
      <c r="L57" s="111"/>
      <c r="M57" s="111"/>
      <c r="T57" s="240"/>
      <c r="U57" s="25"/>
      <c r="V57" s="25"/>
      <c r="W57" s="25"/>
      <c r="X57" s="25"/>
      <c r="Y57" s="25"/>
      <c r="Z57" s="25"/>
      <c r="AA57" s="25"/>
      <c r="AB57" s="25"/>
      <c r="AC57" s="25"/>
      <c r="AD57" s="25"/>
    </row>
    <row r="58" spans="4:30" s="79" customFormat="1">
      <c r="D58" s="108"/>
      <c r="E58" s="144"/>
      <c r="G58" s="171"/>
      <c r="H58" s="188"/>
      <c r="I58" s="145"/>
      <c r="J58" s="111"/>
      <c r="K58" s="111"/>
      <c r="L58" s="111"/>
      <c r="M58" s="111"/>
      <c r="T58" s="240"/>
      <c r="U58" s="25"/>
      <c r="V58" s="25"/>
      <c r="W58" s="25"/>
      <c r="X58" s="25"/>
      <c r="Y58" s="25"/>
      <c r="Z58" s="25"/>
      <c r="AA58" s="25"/>
      <c r="AB58" s="25"/>
      <c r="AC58" s="25"/>
      <c r="AD58" s="25"/>
    </row>
    <row r="59" spans="4:30" s="79" customFormat="1">
      <c r="D59" s="108"/>
      <c r="E59" s="144"/>
      <c r="G59" s="171"/>
      <c r="H59" s="188"/>
      <c r="I59" s="145"/>
      <c r="J59" s="111"/>
      <c r="K59" s="111"/>
      <c r="L59" s="111"/>
      <c r="M59" s="111"/>
      <c r="T59" s="240"/>
      <c r="U59" s="25"/>
      <c r="V59" s="25"/>
      <c r="W59" s="25"/>
      <c r="X59" s="25"/>
      <c r="Y59" s="25"/>
      <c r="Z59" s="25"/>
      <c r="AA59" s="25"/>
      <c r="AB59" s="25"/>
      <c r="AC59" s="25"/>
      <c r="AD59" s="25"/>
    </row>
    <row r="60" spans="4:30" s="79" customFormat="1">
      <c r="D60" s="108"/>
      <c r="E60" s="144"/>
      <c r="G60" s="171"/>
      <c r="H60" s="188"/>
      <c r="I60" s="145"/>
      <c r="J60" s="111"/>
      <c r="K60" s="111"/>
      <c r="L60" s="111"/>
      <c r="M60" s="111"/>
      <c r="T60" s="240"/>
      <c r="U60" s="25"/>
      <c r="V60" s="25"/>
      <c r="W60" s="25"/>
      <c r="X60" s="25"/>
      <c r="Y60" s="25"/>
      <c r="Z60" s="25"/>
      <c r="AA60" s="25"/>
      <c r="AB60" s="25"/>
      <c r="AC60" s="25"/>
      <c r="AD60" s="25"/>
    </row>
    <row r="61" spans="4:30" s="79" customFormat="1">
      <c r="D61" s="108"/>
      <c r="E61" s="144"/>
      <c r="G61" s="171"/>
      <c r="H61" s="188"/>
      <c r="I61" s="145"/>
      <c r="J61" s="111"/>
      <c r="K61" s="111"/>
      <c r="L61" s="111"/>
      <c r="M61" s="111"/>
      <c r="T61" s="240"/>
      <c r="U61" s="25"/>
      <c r="V61" s="25"/>
      <c r="W61" s="25"/>
      <c r="X61" s="25"/>
      <c r="Y61" s="25"/>
      <c r="Z61" s="25"/>
      <c r="AA61" s="25"/>
      <c r="AB61" s="25"/>
      <c r="AC61" s="25"/>
      <c r="AD61" s="25"/>
    </row>
    <row r="62" spans="4:30" s="79" customFormat="1">
      <c r="D62" s="108"/>
      <c r="E62" s="144"/>
      <c r="G62" s="171"/>
      <c r="H62" s="188"/>
      <c r="I62" s="145"/>
      <c r="J62" s="111"/>
      <c r="K62" s="111"/>
      <c r="L62" s="111"/>
      <c r="M62" s="111"/>
      <c r="T62" s="240"/>
      <c r="U62" s="25"/>
      <c r="V62" s="25"/>
      <c r="W62" s="25"/>
      <c r="X62" s="25"/>
      <c r="Y62" s="25"/>
      <c r="Z62" s="25"/>
      <c r="AA62" s="25"/>
      <c r="AB62" s="25"/>
      <c r="AC62" s="25"/>
      <c r="AD62" s="25"/>
    </row>
    <row r="63" spans="4:30" s="79" customFormat="1">
      <c r="D63" s="108"/>
      <c r="E63" s="144"/>
      <c r="G63" s="171"/>
      <c r="H63" s="188"/>
      <c r="I63" s="145"/>
      <c r="J63" s="111"/>
      <c r="K63" s="111"/>
      <c r="L63" s="111"/>
      <c r="M63" s="111"/>
      <c r="T63" s="240"/>
      <c r="U63" s="25"/>
      <c r="V63" s="25"/>
      <c r="W63" s="25"/>
      <c r="X63" s="25"/>
      <c r="Y63" s="25"/>
      <c r="Z63" s="25"/>
      <c r="AA63" s="25"/>
      <c r="AB63" s="25"/>
      <c r="AC63" s="25"/>
      <c r="AD63" s="25"/>
    </row>
    <row r="64" spans="4:30" s="79" customFormat="1">
      <c r="D64" s="108"/>
      <c r="E64" s="144"/>
      <c r="G64" s="171"/>
      <c r="H64" s="188"/>
      <c r="I64" s="145"/>
      <c r="J64" s="111"/>
      <c r="K64" s="111"/>
      <c r="L64" s="111"/>
      <c r="M64" s="111"/>
      <c r="T64" s="240"/>
      <c r="U64" s="25"/>
      <c r="V64" s="25"/>
      <c r="W64" s="25"/>
      <c r="X64" s="25"/>
      <c r="Y64" s="25"/>
      <c r="Z64" s="25"/>
      <c r="AA64" s="25"/>
      <c r="AB64" s="25"/>
      <c r="AC64" s="25"/>
      <c r="AD64" s="25"/>
    </row>
    <row r="65" spans="4:30" s="79" customFormat="1">
      <c r="D65" s="108"/>
      <c r="E65" s="144"/>
      <c r="G65" s="171"/>
      <c r="H65" s="188"/>
      <c r="I65" s="145"/>
      <c r="J65" s="111"/>
      <c r="K65" s="111"/>
      <c r="L65" s="111"/>
      <c r="M65" s="111"/>
      <c r="T65" s="240"/>
      <c r="U65" s="25"/>
      <c r="V65" s="25"/>
      <c r="W65" s="25"/>
      <c r="X65" s="25"/>
      <c r="Y65" s="25"/>
      <c r="Z65" s="25"/>
      <c r="AA65" s="25"/>
      <c r="AB65" s="25"/>
      <c r="AC65" s="25"/>
      <c r="AD65" s="25"/>
    </row>
    <row r="66" spans="4:30" s="79" customFormat="1">
      <c r="D66" s="108"/>
      <c r="E66" s="144"/>
      <c r="G66" s="171"/>
      <c r="H66" s="188"/>
      <c r="I66" s="145"/>
      <c r="J66" s="111"/>
      <c r="K66" s="111"/>
      <c r="L66" s="111"/>
      <c r="M66" s="111"/>
      <c r="T66" s="240"/>
      <c r="U66" s="25"/>
      <c r="V66" s="25"/>
      <c r="W66" s="25"/>
      <c r="X66" s="25"/>
      <c r="Y66" s="25"/>
      <c r="Z66" s="25"/>
      <c r="AA66" s="25"/>
      <c r="AB66" s="25"/>
      <c r="AC66" s="25"/>
      <c r="AD66" s="25"/>
    </row>
    <row r="67" spans="4:30" s="79" customFormat="1">
      <c r="D67" s="108"/>
      <c r="E67" s="144"/>
      <c r="G67" s="171"/>
      <c r="H67" s="188"/>
      <c r="I67" s="145"/>
      <c r="J67" s="111"/>
      <c r="K67" s="111"/>
      <c r="L67" s="111"/>
      <c r="M67" s="111"/>
      <c r="T67" s="240"/>
      <c r="U67" s="25"/>
      <c r="V67" s="25"/>
      <c r="W67" s="25"/>
      <c r="X67" s="25"/>
      <c r="Y67" s="25"/>
      <c r="Z67" s="25"/>
      <c r="AA67" s="25"/>
      <c r="AB67" s="25"/>
      <c r="AC67" s="25"/>
      <c r="AD67" s="25"/>
    </row>
    <row r="68" spans="4:30" s="79" customFormat="1">
      <c r="D68" s="108"/>
      <c r="E68" s="144"/>
      <c r="G68" s="171"/>
      <c r="H68" s="188"/>
      <c r="I68" s="145"/>
      <c r="J68" s="111"/>
      <c r="K68" s="111"/>
      <c r="L68" s="111"/>
      <c r="M68" s="111"/>
      <c r="T68" s="240"/>
      <c r="U68" s="25"/>
      <c r="V68" s="25"/>
      <c r="W68" s="25"/>
      <c r="X68" s="25"/>
      <c r="Y68" s="25"/>
      <c r="Z68" s="25"/>
      <c r="AA68" s="25"/>
      <c r="AB68" s="25"/>
      <c r="AC68" s="25"/>
      <c r="AD68" s="25"/>
    </row>
    <row r="69" spans="4:30" s="79" customFormat="1">
      <c r="D69" s="108"/>
      <c r="E69" s="144"/>
      <c r="G69" s="171"/>
      <c r="H69" s="188"/>
      <c r="I69" s="145"/>
      <c r="J69" s="111"/>
      <c r="K69" s="111"/>
      <c r="L69" s="111"/>
      <c r="M69" s="111"/>
      <c r="T69" s="240"/>
      <c r="U69" s="25"/>
      <c r="V69" s="25"/>
      <c r="W69" s="25"/>
      <c r="X69" s="25"/>
      <c r="Y69" s="25"/>
      <c r="Z69" s="25"/>
      <c r="AA69" s="25"/>
      <c r="AB69" s="25"/>
      <c r="AC69" s="25"/>
      <c r="AD69" s="25"/>
    </row>
    <row r="70" spans="4:30" s="79" customFormat="1">
      <c r="D70" s="108"/>
      <c r="E70" s="144"/>
      <c r="G70" s="171"/>
      <c r="H70" s="188"/>
      <c r="I70" s="145"/>
      <c r="J70" s="111"/>
      <c r="K70" s="111"/>
      <c r="L70" s="111"/>
      <c r="M70" s="111"/>
      <c r="T70" s="240"/>
      <c r="U70" s="25"/>
      <c r="V70" s="25"/>
      <c r="W70" s="25"/>
      <c r="X70" s="25"/>
      <c r="Y70" s="25"/>
      <c r="Z70" s="25"/>
      <c r="AA70" s="25"/>
      <c r="AB70" s="25"/>
      <c r="AC70" s="25"/>
      <c r="AD70" s="25"/>
    </row>
    <row r="71" spans="4:30" s="79" customFormat="1">
      <c r="D71" s="108"/>
      <c r="E71" s="144"/>
      <c r="G71" s="171"/>
      <c r="H71" s="188"/>
      <c r="I71" s="145"/>
      <c r="J71" s="111"/>
      <c r="K71" s="111"/>
      <c r="L71" s="111"/>
      <c r="M71" s="111"/>
      <c r="T71" s="240"/>
      <c r="U71" s="25"/>
      <c r="V71" s="25"/>
      <c r="W71" s="25"/>
      <c r="X71" s="25"/>
      <c r="Y71" s="25"/>
      <c r="Z71" s="25"/>
      <c r="AA71" s="25"/>
      <c r="AB71" s="25"/>
      <c r="AC71" s="25"/>
      <c r="AD71" s="25"/>
    </row>
  </sheetData>
  <mergeCells count="31">
    <mergeCell ref="S26:S27"/>
    <mergeCell ref="E36:E52"/>
    <mergeCell ref="I26:I27"/>
    <mergeCell ref="J26:J27"/>
    <mergeCell ref="K26:K27"/>
    <mergeCell ref="L26:L27"/>
    <mergeCell ref="M26:M27"/>
    <mergeCell ref="N11:N12"/>
    <mergeCell ref="O11:O12"/>
    <mergeCell ref="P11:P12"/>
    <mergeCell ref="Q11:Q12"/>
    <mergeCell ref="N26:N27"/>
    <mergeCell ref="O26:O27"/>
    <mergeCell ref="P26:P27"/>
    <mergeCell ref="Q26:Q27"/>
    <mergeCell ref="R11:R12"/>
    <mergeCell ref="A1:E2"/>
    <mergeCell ref="I1:I4"/>
    <mergeCell ref="J1:S3"/>
    <mergeCell ref="T1:T1048576"/>
    <mergeCell ref="A3:E3"/>
    <mergeCell ref="A9:E11"/>
    <mergeCell ref="J11:J12"/>
    <mergeCell ref="K11:K12"/>
    <mergeCell ref="L11:L12"/>
    <mergeCell ref="M11:M12"/>
    <mergeCell ref="S11:S12"/>
    <mergeCell ref="A16:E16"/>
    <mergeCell ref="I16:I19"/>
    <mergeCell ref="J16:S18"/>
    <mergeCell ref="D36:D5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D71"/>
  <sheetViews>
    <sheetView topLeftCell="I1" zoomScale="80" zoomScaleNormal="80" workbookViewId="0">
      <selection activeCell="R9" sqref="R9"/>
    </sheetView>
  </sheetViews>
  <sheetFormatPr defaultRowHeight="15"/>
  <cols>
    <col min="1" max="1" width="17.28515625" bestFit="1" customWidth="1"/>
    <col min="2" max="3" width="17.28515625" customWidth="1"/>
    <col min="4" max="4" width="18.7109375" style="106" customWidth="1"/>
    <col min="5" max="5" width="18.7109375" style="98" customWidth="1"/>
    <col min="6" max="6" width="4.5703125" style="107" customWidth="1"/>
    <col min="7" max="7" width="4.28515625" style="171" customWidth="1"/>
    <col min="8" max="8" width="17.140625" style="188" bestFit="1" customWidth="1"/>
    <col min="9" max="9" width="45.5703125" style="118" customWidth="1"/>
    <col min="10" max="10" width="20" style="115" bestFit="1" customWidth="1"/>
    <col min="11" max="11" width="16.85546875" style="115" bestFit="1" customWidth="1"/>
    <col min="12" max="12" width="17.7109375" style="115" bestFit="1" customWidth="1"/>
    <col min="13" max="13" width="17.28515625" style="117" bestFit="1" customWidth="1"/>
    <col min="14" max="14" width="16.28515625" bestFit="1" customWidth="1"/>
    <col min="15" max="15" width="19.5703125" bestFit="1" customWidth="1"/>
    <col min="16" max="16" width="18.140625" bestFit="1" customWidth="1"/>
    <col min="17" max="17" width="20.28515625" bestFit="1" customWidth="1"/>
    <col min="18" max="18" width="20.28515625" customWidth="1"/>
    <col min="19" max="19" width="17.28515625" bestFit="1" customWidth="1"/>
    <col min="20" max="20" width="4.28515625" style="240" customWidth="1"/>
    <col min="21" max="21" width="46" style="25" customWidth="1"/>
    <col min="22" max="22" width="16.140625" style="25" bestFit="1" customWidth="1"/>
    <col min="23" max="24" width="12.140625" style="25" bestFit="1" customWidth="1"/>
    <col min="25" max="25" width="12.85546875" style="25" bestFit="1" customWidth="1"/>
    <col min="26" max="26" width="14.28515625" style="25" bestFit="1" customWidth="1"/>
    <col min="27" max="27" width="15" style="25" bestFit="1" customWidth="1"/>
    <col min="28" max="28" width="14.28515625" style="25" bestFit="1" customWidth="1"/>
    <col min="29" max="29" width="17.42578125" style="25" customWidth="1"/>
    <col min="30" max="30" width="14.28515625" style="25" bestFit="1" customWidth="1"/>
  </cols>
  <sheetData>
    <row r="1" spans="1:30" s="146" customFormat="1" ht="15" customHeight="1">
      <c r="A1" s="227">
        <v>52</v>
      </c>
      <c r="B1" s="227"/>
      <c r="C1" s="227"/>
      <c r="D1" s="227"/>
      <c r="E1" s="227"/>
      <c r="G1" s="171"/>
      <c r="H1" s="187"/>
      <c r="I1" s="228"/>
      <c r="J1" s="231"/>
      <c r="K1" s="232"/>
      <c r="L1" s="232"/>
      <c r="M1" s="232"/>
      <c r="N1" s="232"/>
      <c r="O1" s="232"/>
      <c r="P1" s="232"/>
      <c r="Q1" s="232"/>
      <c r="R1" s="232"/>
      <c r="S1" s="233"/>
      <c r="T1" s="240"/>
      <c r="U1" s="28"/>
      <c r="V1" s="203"/>
      <c r="W1" s="203"/>
      <c r="X1" s="203"/>
      <c r="Y1" s="203"/>
      <c r="Z1" s="203"/>
      <c r="AA1" s="203"/>
      <c r="AB1" s="203"/>
      <c r="AC1" s="203"/>
      <c r="AD1" s="203"/>
    </row>
    <row r="2" spans="1:30" s="146" customFormat="1" ht="15" customHeight="1">
      <c r="A2" s="227"/>
      <c r="B2" s="227"/>
      <c r="C2" s="227"/>
      <c r="D2" s="227"/>
      <c r="E2" s="227"/>
      <c r="G2" s="171"/>
      <c r="H2" s="187"/>
      <c r="I2" s="229"/>
      <c r="J2" s="234"/>
      <c r="K2" s="235"/>
      <c r="L2" s="235"/>
      <c r="M2" s="235"/>
      <c r="N2" s="235"/>
      <c r="O2" s="235"/>
      <c r="P2" s="235"/>
      <c r="Q2" s="235"/>
      <c r="R2" s="235"/>
      <c r="S2" s="236"/>
      <c r="T2" s="240"/>
      <c r="U2" s="28"/>
      <c r="V2" s="203"/>
      <c r="W2" s="203"/>
      <c r="X2" s="203"/>
      <c r="Y2" s="203"/>
      <c r="Z2" s="203"/>
      <c r="AA2" s="203"/>
      <c r="AB2" s="203"/>
      <c r="AC2" s="203"/>
      <c r="AD2" s="203"/>
    </row>
    <row r="3" spans="1:30" s="79" customFormat="1" ht="26.25" customHeight="1">
      <c r="A3" s="241" t="s">
        <v>5</v>
      </c>
      <c r="B3" s="241"/>
      <c r="C3" s="241"/>
      <c r="D3" s="241"/>
      <c r="E3" s="241"/>
      <c r="G3" s="171"/>
      <c r="H3" s="187"/>
      <c r="I3" s="229"/>
      <c r="J3" s="237"/>
      <c r="K3" s="238"/>
      <c r="L3" s="238"/>
      <c r="M3" s="238"/>
      <c r="N3" s="238"/>
      <c r="O3" s="238"/>
      <c r="P3" s="238"/>
      <c r="Q3" s="238"/>
      <c r="R3" s="238"/>
      <c r="S3" s="239"/>
      <c r="T3" s="240"/>
      <c r="U3" s="28"/>
      <c r="V3" s="203"/>
      <c r="W3" s="203"/>
      <c r="X3" s="203"/>
      <c r="Y3" s="203"/>
      <c r="Z3" s="203"/>
      <c r="AA3" s="203"/>
      <c r="AB3" s="203"/>
      <c r="AC3" s="203"/>
      <c r="AD3" s="203"/>
    </row>
    <row r="4" spans="1:30" ht="45">
      <c r="A4" s="52" t="s">
        <v>6</v>
      </c>
      <c r="B4" s="52"/>
      <c r="C4" s="52"/>
      <c r="D4" s="130" t="s">
        <v>52</v>
      </c>
      <c r="E4" s="131" t="s">
        <v>10</v>
      </c>
      <c r="H4" s="187"/>
      <c r="I4" s="230"/>
      <c r="J4" s="120" t="s">
        <v>12</v>
      </c>
      <c r="K4" s="121" t="s">
        <v>13</v>
      </c>
      <c r="L4" s="122" t="s">
        <v>14</v>
      </c>
      <c r="M4" s="120" t="s">
        <v>15</v>
      </c>
      <c r="N4" s="120" t="s">
        <v>16</v>
      </c>
      <c r="O4" s="120" t="s">
        <v>17</v>
      </c>
      <c r="P4" s="120" t="s">
        <v>18</v>
      </c>
      <c r="Q4" s="120" t="s">
        <v>19</v>
      </c>
      <c r="R4" s="120" t="s">
        <v>83</v>
      </c>
      <c r="S4" s="120" t="s">
        <v>20</v>
      </c>
      <c r="U4" s="28"/>
      <c r="V4" s="189"/>
      <c r="W4" s="190"/>
      <c r="X4" s="191"/>
      <c r="Y4" s="189"/>
      <c r="Z4" s="189"/>
      <c r="AA4" s="189"/>
      <c r="AB4" s="189"/>
      <c r="AC4" s="189"/>
      <c r="AD4" s="189"/>
    </row>
    <row r="5" spans="1:30">
      <c r="A5" s="48" t="s">
        <v>21</v>
      </c>
      <c r="B5" s="48"/>
      <c r="C5" s="48"/>
      <c r="D5" s="206">
        <v>26</v>
      </c>
      <c r="E5" s="129">
        <f>(D5/$A$1)</f>
        <v>0.5</v>
      </c>
      <c r="H5" s="112"/>
      <c r="I5" s="185" t="s">
        <v>22</v>
      </c>
      <c r="J5" s="124">
        <v>1507</v>
      </c>
      <c r="K5" s="125">
        <v>1507</v>
      </c>
      <c r="L5" s="126">
        <v>1507</v>
      </c>
      <c r="M5" s="152">
        <v>1507</v>
      </c>
      <c r="N5" s="206">
        <v>1507</v>
      </c>
      <c r="O5" s="206">
        <v>1507</v>
      </c>
      <c r="P5" s="206">
        <v>1507</v>
      </c>
      <c r="Q5" s="206">
        <v>1507</v>
      </c>
      <c r="R5" s="211">
        <f>recalls!R5</f>
        <v>1507</v>
      </c>
      <c r="S5" s="206">
        <v>1507</v>
      </c>
      <c r="U5" s="192"/>
      <c r="V5" s="193"/>
      <c r="W5" s="193"/>
      <c r="X5" s="193"/>
      <c r="Y5" s="193"/>
      <c r="Z5" s="193"/>
      <c r="AA5" s="193"/>
      <c r="AB5" s="193"/>
      <c r="AC5" s="193"/>
      <c r="AD5" s="193"/>
    </row>
    <row r="6" spans="1:30">
      <c r="A6" s="48" t="s">
        <v>23</v>
      </c>
      <c r="B6" s="48"/>
      <c r="C6" s="48"/>
      <c r="D6" s="206">
        <v>26</v>
      </c>
      <c r="E6" s="129">
        <f t="shared" ref="E6:E8" si="0">(D6/$A$1)</f>
        <v>0.5</v>
      </c>
      <c r="H6" s="112"/>
      <c r="I6" s="185" t="s">
        <v>24</v>
      </c>
      <c r="J6" s="127">
        <v>0.08</v>
      </c>
      <c r="K6" s="127">
        <v>0.25800000000000001</v>
      </c>
      <c r="L6" s="127">
        <v>8.1000000000000003E-2</v>
      </c>
      <c r="M6" s="127">
        <v>0.29299999999999998</v>
      </c>
      <c r="N6" s="127">
        <v>0.10299999999999999</v>
      </c>
      <c r="O6" s="127">
        <v>0.28000000000000003</v>
      </c>
      <c r="P6" s="127">
        <v>0.38</v>
      </c>
      <c r="Q6" s="127">
        <v>0.16700000000000001</v>
      </c>
      <c r="R6" s="127">
        <f>recalls!R6</f>
        <v>8.0199999999999994E-2</v>
      </c>
      <c r="S6" s="127">
        <v>1</v>
      </c>
      <c r="U6" s="192"/>
      <c r="V6" s="194"/>
      <c r="W6" s="194"/>
      <c r="X6" s="194"/>
      <c r="Y6" s="194"/>
      <c r="Z6" s="194"/>
      <c r="AA6" s="194"/>
      <c r="AB6" s="194"/>
      <c r="AC6" s="194"/>
      <c r="AD6" s="194"/>
    </row>
    <row r="7" spans="1:30">
      <c r="A7" s="48" t="s">
        <v>25</v>
      </c>
      <c r="B7" s="48"/>
      <c r="C7" s="48"/>
      <c r="D7" s="206">
        <v>23</v>
      </c>
      <c r="E7" s="129">
        <f t="shared" si="0"/>
        <v>0.44230769230769229</v>
      </c>
      <c r="H7" s="112"/>
      <c r="I7" s="185" t="s">
        <v>156</v>
      </c>
      <c r="J7" s="128">
        <v>0.3</v>
      </c>
      <c r="K7" s="128">
        <v>0.81</v>
      </c>
      <c r="L7" s="128">
        <v>0.64</v>
      </c>
      <c r="M7" s="128">
        <v>0.124</v>
      </c>
      <c r="N7" s="128">
        <v>0.47826086956521741</v>
      </c>
      <c r="O7" s="128">
        <v>0.66</v>
      </c>
      <c r="P7" s="128">
        <v>1</v>
      </c>
      <c r="Q7" s="128">
        <f>100%*50%</f>
        <v>0.5</v>
      </c>
      <c r="R7" s="128">
        <f>recalls!R7*50%</f>
        <v>0.5</v>
      </c>
      <c r="S7" s="128">
        <f>22%*50%</f>
        <v>0.11</v>
      </c>
      <c r="U7" s="192"/>
      <c r="V7" s="194"/>
      <c r="W7" s="194"/>
      <c r="X7" s="194"/>
      <c r="Y7" s="194"/>
      <c r="Z7" s="194"/>
      <c r="AA7" s="194"/>
      <c r="AB7" s="194"/>
      <c r="AC7" s="194"/>
      <c r="AD7" s="194"/>
    </row>
    <row r="8" spans="1:30" ht="30">
      <c r="A8" s="48" t="s">
        <v>15</v>
      </c>
      <c r="B8" s="48"/>
      <c r="C8" s="48"/>
      <c r="D8" s="206">
        <v>17</v>
      </c>
      <c r="E8" s="129">
        <f t="shared" si="0"/>
        <v>0.32692307692307693</v>
      </c>
      <c r="H8" s="112"/>
      <c r="I8" s="185" t="s">
        <v>157</v>
      </c>
      <c r="J8" s="129">
        <f>E5</f>
        <v>0.5</v>
      </c>
      <c r="K8" s="129">
        <f>E6</f>
        <v>0.5</v>
      </c>
      <c r="L8" s="129">
        <f>E7</f>
        <v>0.44230769230769229</v>
      </c>
      <c r="M8" s="129">
        <f>E8</f>
        <v>0.32692307692307693</v>
      </c>
      <c r="N8" s="153">
        <f>E12</f>
        <v>3.8461538461538464E-2</v>
      </c>
      <c r="O8" s="153">
        <f>E13</f>
        <v>0.17307692307692307</v>
      </c>
      <c r="P8" s="153">
        <f>E14</f>
        <v>0.5</v>
      </c>
      <c r="Q8" s="153">
        <f>E15</f>
        <v>0.19230769230769232</v>
      </c>
      <c r="R8" s="153">
        <v>0</v>
      </c>
      <c r="S8" s="153">
        <f>E17</f>
        <v>0.21153846153846154</v>
      </c>
      <c r="U8" s="192"/>
      <c r="V8" s="195"/>
      <c r="W8" s="195"/>
      <c r="X8" s="195"/>
      <c r="Y8" s="195"/>
      <c r="Z8" s="195"/>
      <c r="AA8" s="195"/>
      <c r="AB8" s="195"/>
      <c r="AC8" s="195"/>
      <c r="AD8" s="195"/>
    </row>
    <row r="9" spans="1:30" ht="30">
      <c r="A9" s="242" t="s">
        <v>28</v>
      </c>
      <c r="B9" s="242"/>
      <c r="C9" s="242"/>
      <c r="D9" s="242"/>
      <c r="E9" s="242"/>
      <c r="I9" s="185" t="s">
        <v>29</v>
      </c>
      <c r="J9" s="164">
        <f t="shared" ref="J9:S9" si="1">J5*J6*J7*J8</f>
        <v>18.084</v>
      </c>
      <c r="K9" s="164">
        <f t="shared" si="1"/>
        <v>157.46643</v>
      </c>
      <c r="L9" s="165">
        <f t="shared" si="1"/>
        <v>34.554350769230773</v>
      </c>
      <c r="M9" s="166">
        <f t="shared" si="1"/>
        <v>17.899798230769232</v>
      </c>
      <c r="N9" s="164">
        <f t="shared" si="1"/>
        <v>2.8552357859531776</v>
      </c>
      <c r="O9" s="164">
        <f t="shared" si="1"/>
        <v>48.200815384615389</v>
      </c>
      <c r="P9" s="164">
        <f t="shared" si="1"/>
        <v>286.33</v>
      </c>
      <c r="Q9" s="164">
        <f t="shared" si="1"/>
        <v>24.19894230769231</v>
      </c>
      <c r="R9" s="164">
        <f>R5*R6*R7*R8</f>
        <v>0</v>
      </c>
      <c r="S9" s="164">
        <f t="shared" si="1"/>
        <v>35.066730769230773</v>
      </c>
      <c r="U9" s="192"/>
      <c r="V9" s="196"/>
      <c r="W9" s="196"/>
      <c r="X9" s="197"/>
      <c r="Y9" s="196"/>
      <c r="Z9" s="196"/>
      <c r="AA9" s="196"/>
      <c r="AB9" s="196"/>
      <c r="AC9" s="196"/>
      <c r="AD9" s="196"/>
    </row>
    <row r="10" spans="1:30">
      <c r="A10" s="242"/>
      <c r="B10" s="242"/>
      <c r="C10" s="242"/>
      <c r="D10" s="242"/>
      <c r="E10" s="242"/>
      <c r="I10" s="185" t="s">
        <v>30</v>
      </c>
      <c r="J10" s="154">
        <f>'Colorectal Benefit'!$F$16</f>
        <v>17293.082565880046</v>
      </c>
      <c r="K10" s="154">
        <f>'Heart Disease Benefit'!$G$16</f>
        <v>5775.2181929014514</v>
      </c>
      <c r="L10" s="154">
        <f>'Stroke Benefits'!$G$18</f>
        <v>26003.011937672796</v>
      </c>
      <c r="M10" s="154">
        <f>'Hypertension Benefit'!$G$29</f>
        <v>1700.9371327253966</v>
      </c>
      <c r="N10" s="154">
        <f>osteoporosis!$C$35</f>
        <v>85670.525065513924</v>
      </c>
      <c r="O10" s="154">
        <f>'Type 2 Diabeties'!$C$31</f>
        <v>50777.185201500433</v>
      </c>
      <c r="P10" s="154">
        <f>Obesity!$C$45</f>
        <v>30080.075037511851</v>
      </c>
      <c r="Q10" s="154">
        <f>FIGURES!$F$14</f>
        <v>31322.097401202354</v>
      </c>
      <c r="R10" s="154">
        <f>recalls!R10</f>
        <v>21799.185582999999</v>
      </c>
      <c r="S10" s="154">
        <f>'Data &amp; PV'!$G$12</f>
        <v>2539.229198</v>
      </c>
      <c r="U10" s="192"/>
      <c r="V10" s="198"/>
      <c r="W10" s="198"/>
      <c r="X10" s="198"/>
      <c r="Y10" s="198"/>
      <c r="Z10" s="198"/>
      <c r="AA10" s="198"/>
      <c r="AB10" s="198"/>
      <c r="AC10" s="198"/>
      <c r="AD10" s="198"/>
    </row>
    <row r="11" spans="1:30">
      <c r="A11" s="242"/>
      <c r="B11" s="242"/>
      <c r="C11" s="242"/>
      <c r="D11" s="242"/>
      <c r="E11" s="242"/>
      <c r="I11" s="185" t="s">
        <v>31</v>
      </c>
      <c r="J11" s="243">
        <f t="shared" ref="J11:S11" si="2">J9*J10</f>
        <v>312728.10512137477</v>
      </c>
      <c r="K11" s="243">
        <f t="shared" si="2"/>
        <v>909402.99130724289</v>
      </c>
      <c r="L11" s="245">
        <f t="shared" si="2"/>
        <v>898517.19555084093</v>
      </c>
      <c r="M11" s="247">
        <f t="shared" si="2"/>
        <v>30446.431479007744</v>
      </c>
      <c r="N11" s="243">
        <f t="shared" si="2"/>
        <v>244609.54896845407</v>
      </c>
      <c r="O11" s="243">
        <f t="shared" si="2"/>
        <v>2447501.729647947</v>
      </c>
      <c r="P11" s="243">
        <f t="shared" si="2"/>
        <v>8612827.8854907677</v>
      </c>
      <c r="Q11" s="243">
        <f t="shared" si="2"/>
        <v>757961.62796761503</v>
      </c>
      <c r="R11" s="225">
        <f>R9*R10</f>
        <v>0</v>
      </c>
      <c r="S11" s="243">
        <f t="shared" si="2"/>
        <v>89042.466647635782</v>
      </c>
      <c r="U11" s="28"/>
      <c r="V11" s="201"/>
      <c r="W11" s="201"/>
      <c r="X11" s="201"/>
      <c r="Y11" s="201"/>
      <c r="Z11" s="201"/>
      <c r="AA11" s="201"/>
      <c r="AB11" s="201"/>
      <c r="AC11" s="201"/>
      <c r="AD11" s="201"/>
    </row>
    <row r="12" spans="1:30">
      <c r="A12" s="48" t="s">
        <v>16</v>
      </c>
      <c r="B12" s="48"/>
      <c r="C12" s="48"/>
      <c r="D12" s="206">
        <v>2</v>
      </c>
      <c r="E12" s="129">
        <f>(D12/$A$1)</f>
        <v>3.8461538461538464E-2</v>
      </c>
      <c r="H12" s="112"/>
      <c r="I12" s="185"/>
      <c r="J12" s="244"/>
      <c r="K12" s="244"/>
      <c r="L12" s="246"/>
      <c r="M12" s="248"/>
      <c r="N12" s="242"/>
      <c r="O12" s="242"/>
      <c r="P12" s="242"/>
      <c r="Q12" s="242"/>
      <c r="R12" s="226"/>
      <c r="S12" s="242"/>
      <c r="U12" s="28"/>
      <c r="V12" s="202"/>
      <c r="W12" s="202"/>
      <c r="X12" s="202"/>
      <c r="Y12" s="202"/>
      <c r="Z12" s="202"/>
      <c r="AA12" s="202"/>
      <c r="AB12" s="202"/>
      <c r="AC12" s="202"/>
      <c r="AD12" s="202"/>
    </row>
    <row r="13" spans="1:30" s="135" customFormat="1">
      <c r="A13" s="48" t="s">
        <v>32</v>
      </c>
      <c r="B13" s="48"/>
      <c r="C13" s="48"/>
      <c r="D13" s="206">
        <v>9</v>
      </c>
      <c r="E13" s="129">
        <f t="shared" ref="E13:E15" si="3">(D13/$A$1)</f>
        <v>0.17307692307692307</v>
      </c>
      <c r="F13" s="134"/>
      <c r="G13" s="171"/>
      <c r="H13" s="112"/>
      <c r="I13" s="185" t="s">
        <v>33</v>
      </c>
      <c r="J13" s="155">
        <f>SUM(J11:S12)</f>
        <v>14303037.982180886</v>
      </c>
      <c r="K13" s="155"/>
      <c r="L13" s="155"/>
      <c r="M13" s="155"/>
      <c r="N13" s="155"/>
      <c r="O13" s="155"/>
      <c r="P13" s="155"/>
      <c r="Q13" s="155"/>
      <c r="R13" s="155"/>
      <c r="S13" s="204"/>
      <c r="T13" s="240"/>
      <c r="U13" s="189"/>
      <c r="V13" s="199"/>
      <c r="W13" s="199"/>
      <c r="X13" s="199"/>
      <c r="Y13" s="199"/>
      <c r="Z13" s="199"/>
      <c r="AA13" s="199"/>
      <c r="AB13" s="199"/>
      <c r="AC13" s="199"/>
      <c r="AD13" s="199"/>
    </row>
    <row r="14" spans="1:30">
      <c r="A14" s="48" t="s">
        <v>18</v>
      </c>
      <c r="B14" s="48"/>
      <c r="C14" s="48"/>
      <c r="D14" s="206">
        <v>26</v>
      </c>
      <c r="E14" s="129">
        <f t="shared" si="3"/>
        <v>0.5</v>
      </c>
      <c r="H14" s="112"/>
      <c r="I14" s="116"/>
      <c r="J14" s="112"/>
      <c r="K14" s="113"/>
      <c r="L14" s="114"/>
      <c r="M14" s="111"/>
    </row>
    <row r="15" spans="1:30">
      <c r="A15" s="48" t="s">
        <v>34</v>
      </c>
      <c r="B15" s="48"/>
      <c r="C15" s="48"/>
      <c r="D15" s="206">
        <v>10</v>
      </c>
      <c r="E15" s="129">
        <f t="shared" si="3"/>
        <v>0.19230769230769232</v>
      </c>
      <c r="H15" s="112"/>
      <c r="I15" s="116"/>
      <c r="J15" s="112"/>
      <c r="K15" s="113"/>
      <c r="L15" s="114"/>
      <c r="M15" s="111"/>
      <c r="N15" s="79"/>
    </row>
    <row r="16" spans="1:30" ht="22.5" customHeight="1">
      <c r="A16" s="249" t="s">
        <v>35</v>
      </c>
      <c r="B16" s="249"/>
      <c r="C16" s="249"/>
      <c r="D16" s="249"/>
      <c r="E16" s="249"/>
      <c r="I16" s="228"/>
      <c r="J16" s="231"/>
      <c r="K16" s="232"/>
      <c r="L16" s="232"/>
      <c r="M16" s="232"/>
      <c r="N16" s="232"/>
      <c r="O16" s="232"/>
      <c r="P16" s="232"/>
      <c r="Q16" s="232"/>
      <c r="R16" s="232"/>
      <c r="S16" s="233"/>
      <c r="U16" s="28"/>
      <c r="V16" s="203"/>
      <c r="W16" s="203"/>
      <c r="X16" s="203"/>
      <c r="Y16" s="203"/>
      <c r="Z16" s="203"/>
      <c r="AA16" s="203"/>
      <c r="AB16" s="203"/>
      <c r="AC16" s="203"/>
      <c r="AD16" s="203"/>
    </row>
    <row r="17" spans="1:30" ht="15" customHeight="1">
      <c r="A17" s="48" t="s">
        <v>20</v>
      </c>
      <c r="B17" s="48">
        <v>12</v>
      </c>
      <c r="C17" s="48">
        <v>17</v>
      </c>
      <c r="D17" s="206">
        <v>11</v>
      </c>
      <c r="E17" s="129">
        <f>(D17/$A$1)</f>
        <v>0.21153846153846154</v>
      </c>
      <c r="H17" s="112"/>
      <c r="I17" s="229"/>
      <c r="J17" s="234"/>
      <c r="K17" s="235"/>
      <c r="L17" s="235"/>
      <c r="M17" s="235"/>
      <c r="N17" s="235"/>
      <c r="O17" s="235"/>
      <c r="P17" s="235"/>
      <c r="Q17" s="235"/>
      <c r="R17" s="235"/>
      <c r="S17" s="236"/>
      <c r="U17" s="28"/>
      <c r="V17" s="203"/>
      <c r="W17" s="203"/>
      <c r="X17" s="203"/>
      <c r="Y17" s="203"/>
      <c r="Z17" s="203"/>
      <c r="AA17" s="203"/>
      <c r="AB17" s="203"/>
      <c r="AC17" s="203"/>
      <c r="AD17" s="203"/>
    </row>
    <row r="18" spans="1:30" s="79" customFormat="1" ht="15" customHeight="1">
      <c r="A18" s="205"/>
      <c r="B18" s="205"/>
      <c r="C18" s="219"/>
      <c r="D18" s="221">
        <v>2</v>
      </c>
      <c r="E18" s="222">
        <f>(D18/$A$1)</f>
        <v>3.8461538461538464E-2</v>
      </c>
      <c r="G18" s="171"/>
      <c r="H18" s="188"/>
      <c r="I18" s="229"/>
      <c r="J18" s="237"/>
      <c r="K18" s="238"/>
      <c r="L18" s="238"/>
      <c r="M18" s="238"/>
      <c r="N18" s="238"/>
      <c r="O18" s="238"/>
      <c r="P18" s="238"/>
      <c r="Q18" s="238"/>
      <c r="R18" s="238"/>
      <c r="S18" s="239"/>
      <c r="T18" s="240"/>
      <c r="U18" s="28"/>
      <c r="V18" s="203"/>
      <c r="W18" s="203"/>
      <c r="X18" s="203"/>
      <c r="Y18" s="203"/>
      <c r="Z18" s="203"/>
      <c r="AA18" s="203"/>
      <c r="AB18" s="203"/>
      <c r="AC18" s="203"/>
      <c r="AD18" s="203"/>
    </row>
    <row r="19" spans="1:30" s="79" customFormat="1" ht="30" customHeight="1">
      <c r="C19" s="220"/>
      <c r="G19" s="171"/>
      <c r="H19" s="188"/>
      <c r="I19" s="230"/>
      <c r="J19" s="120" t="s">
        <v>12</v>
      </c>
      <c r="K19" s="121" t="s">
        <v>13</v>
      </c>
      <c r="L19" s="122" t="s">
        <v>14</v>
      </c>
      <c r="M19" s="120" t="s">
        <v>15</v>
      </c>
      <c r="N19" s="120" t="s">
        <v>16</v>
      </c>
      <c r="O19" s="120" t="s">
        <v>17</v>
      </c>
      <c r="P19" s="120" t="s">
        <v>18</v>
      </c>
      <c r="Q19" s="120" t="s">
        <v>19</v>
      </c>
      <c r="R19" s="120" t="s">
        <v>83</v>
      </c>
      <c r="S19" s="120" t="s">
        <v>20</v>
      </c>
      <c r="T19" s="240"/>
      <c r="U19" s="28"/>
      <c r="V19" s="189"/>
      <c r="W19" s="190"/>
      <c r="X19" s="191"/>
      <c r="Y19" s="189"/>
      <c r="Z19" s="189"/>
      <c r="AA19" s="189"/>
      <c r="AB19" s="189"/>
      <c r="AC19" s="189"/>
      <c r="AD19" s="189"/>
    </row>
    <row r="20" spans="1:30" s="79" customFormat="1" ht="30" customHeight="1">
      <c r="C20" s="220"/>
      <c r="G20" s="171"/>
      <c r="H20" s="188"/>
      <c r="I20" s="185" t="s">
        <v>22</v>
      </c>
      <c r="J20" s="124">
        <f t="shared" ref="J20:S20" si="4">J5</f>
        <v>1507</v>
      </c>
      <c r="K20" s="125">
        <f t="shared" si="4"/>
        <v>1507</v>
      </c>
      <c r="L20" s="126">
        <f t="shared" si="4"/>
        <v>1507</v>
      </c>
      <c r="M20" s="152">
        <f t="shared" si="4"/>
        <v>1507</v>
      </c>
      <c r="N20" s="206">
        <f t="shared" si="4"/>
        <v>1507</v>
      </c>
      <c r="O20" s="206">
        <f t="shared" si="4"/>
        <v>1507</v>
      </c>
      <c r="P20" s="206">
        <f t="shared" si="4"/>
        <v>1507</v>
      </c>
      <c r="Q20" s="206">
        <f t="shared" si="4"/>
        <v>1507</v>
      </c>
      <c r="R20" s="211">
        <f t="shared" si="4"/>
        <v>1507</v>
      </c>
      <c r="S20" s="206">
        <f t="shared" si="4"/>
        <v>1507</v>
      </c>
      <c r="T20" s="240"/>
      <c r="U20" s="192"/>
      <c r="V20" s="193"/>
      <c r="W20" s="193"/>
      <c r="X20" s="193"/>
      <c r="Y20" s="193"/>
      <c r="Z20" s="193"/>
      <c r="AA20" s="193"/>
      <c r="AB20" s="193"/>
      <c r="AC20" s="193"/>
      <c r="AD20" s="193"/>
    </row>
    <row r="21" spans="1:30" s="79" customFormat="1" ht="30" customHeight="1">
      <c r="C21" s="220"/>
      <c r="G21" s="171"/>
      <c r="H21" s="188"/>
      <c r="I21" s="185" t="s">
        <v>24</v>
      </c>
      <c r="J21" s="127">
        <f t="shared" ref="J21:S21" si="5">J6</f>
        <v>0.08</v>
      </c>
      <c r="K21" s="127">
        <f t="shared" si="5"/>
        <v>0.25800000000000001</v>
      </c>
      <c r="L21" s="127">
        <f t="shared" si="5"/>
        <v>8.1000000000000003E-2</v>
      </c>
      <c r="M21" s="127">
        <f t="shared" si="5"/>
        <v>0.29299999999999998</v>
      </c>
      <c r="N21" s="127">
        <f t="shared" si="5"/>
        <v>0.10299999999999999</v>
      </c>
      <c r="O21" s="127">
        <f t="shared" si="5"/>
        <v>0.28000000000000003</v>
      </c>
      <c r="P21" s="127">
        <f t="shared" si="5"/>
        <v>0.38</v>
      </c>
      <c r="Q21" s="127">
        <f t="shared" si="5"/>
        <v>0.16700000000000001</v>
      </c>
      <c r="R21" s="127">
        <f t="shared" si="5"/>
        <v>8.0199999999999994E-2</v>
      </c>
      <c r="S21" s="127">
        <f t="shared" si="5"/>
        <v>1</v>
      </c>
      <c r="T21" s="240"/>
      <c r="U21" s="192"/>
      <c r="V21" s="194"/>
      <c r="W21" s="194"/>
      <c r="X21" s="194"/>
      <c r="Y21" s="194"/>
      <c r="Z21" s="194"/>
      <c r="AA21" s="194"/>
      <c r="AB21" s="194"/>
      <c r="AC21" s="194"/>
      <c r="AD21" s="194"/>
    </row>
    <row r="22" spans="1:30" s="79" customFormat="1" ht="30" customHeight="1">
      <c r="C22" s="220"/>
      <c r="G22" s="171"/>
      <c r="H22" s="188"/>
      <c r="I22" s="185" t="s">
        <v>156</v>
      </c>
      <c r="J22" s="128">
        <f t="shared" ref="J22:S22" si="6">J7</f>
        <v>0.3</v>
      </c>
      <c r="K22" s="128">
        <f t="shared" si="6"/>
        <v>0.81</v>
      </c>
      <c r="L22" s="128">
        <f t="shared" si="6"/>
        <v>0.64</v>
      </c>
      <c r="M22" s="128">
        <f t="shared" si="6"/>
        <v>0.124</v>
      </c>
      <c r="N22" s="128">
        <f t="shared" si="6"/>
        <v>0.47826086956521741</v>
      </c>
      <c r="O22" s="128">
        <f t="shared" si="6"/>
        <v>0.66</v>
      </c>
      <c r="P22" s="128">
        <f t="shared" si="6"/>
        <v>1</v>
      </c>
      <c r="Q22" s="128">
        <f t="shared" si="6"/>
        <v>0.5</v>
      </c>
      <c r="R22" s="128">
        <f t="shared" si="6"/>
        <v>0.5</v>
      </c>
      <c r="S22" s="128">
        <f t="shared" si="6"/>
        <v>0.11</v>
      </c>
      <c r="T22" s="240"/>
      <c r="U22" s="192"/>
      <c r="V22" s="194"/>
      <c r="W22" s="194"/>
      <c r="X22" s="194"/>
      <c r="Y22" s="194"/>
      <c r="Z22" s="194"/>
      <c r="AA22" s="194"/>
      <c r="AB22" s="194"/>
      <c r="AC22" s="194"/>
      <c r="AD22" s="194"/>
    </row>
    <row r="23" spans="1:30" s="79" customFormat="1" ht="30" customHeight="1">
      <c r="C23" s="220"/>
      <c r="G23" s="171"/>
      <c r="H23" s="188"/>
      <c r="I23" s="185" t="s">
        <v>157</v>
      </c>
      <c r="J23" s="129">
        <f t="shared" ref="J23:S23" si="7">J8</f>
        <v>0.5</v>
      </c>
      <c r="K23" s="129">
        <f t="shared" si="7"/>
        <v>0.5</v>
      </c>
      <c r="L23" s="129">
        <f t="shared" si="7"/>
        <v>0.44230769230769229</v>
      </c>
      <c r="M23" s="129">
        <f t="shared" si="7"/>
        <v>0.32692307692307693</v>
      </c>
      <c r="N23" s="153">
        <f t="shared" si="7"/>
        <v>3.8461538461538464E-2</v>
      </c>
      <c r="O23" s="153">
        <f t="shared" si="7"/>
        <v>0.17307692307692307</v>
      </c>
      <c r="P23" s="153">
        <f t="shared" si="7"/>
        <v>0.5</v>
      </c>
      <c r="Q23" s="153">
        <f t="shared" si="7"/>
        <v>0.19230769230769232</v>
      </c>
      <c r="R23" s="153">
        <f t="shared" si="7"/>
        <v>0</v>
      </c>
      <c r="S23" s="153">
        <f t="shared" si="7"/>
        <v>0.21153846153846154</v>
      </c>
      <c r="T23" s="240"/>
      <c r="U23" s="192"/>
      <c r="V23" s="195"/>
      <c r="W23" s="195"/>
      <c r="X23" s="195"/>
      <c r="Y23" s="195"/>
      <c r="Z23" s="195"/>
      <c r="AA23" s="195"/>
      <c r="AB23" s="195"/>
      <c r="AC23" s="195"/>
      <c r="AD23" s="195"/>
    </row>
    <row r="24" spans="1:30" s="79" customFormat="1" ht="30" customHeight="1">
      <c r="C24" s="220"/>
      <c r="G24" s="171"/>
      <c r="H24" s="188"/>
      <c r="I24" s="185" t="s">
        <v>29</v>
      </c>
      <c r="J24" s="164">
        <f t="shared" ref="J24:S24" si="8">J9</f>
        <v>18.084</v>
      </c>
      <c r="K24" s="164">
        <f t="shared" si="8"/>
        <v>157.46643</v>
      </c>
      <c r="L24" s="165">
        <f t="shared" si="8"/>
        <v>34.554350769230773</v>
      </c>
      <c r="M24" s="166">
        <f t="shared" si="8"/>
        <v>17.899798230769232</v>
      </c>
      <c r="N24" s="164">
        <f t="shared" si="8"/>
        <v>2.8552357859531776</v>
      </c>
      <c r="O24" s="164">
        <f t="shared" si="8"/>
        <v>48.200815384615389</v>
      </c>
      <c r="P24" s="164">
        <f t="shared" si="8"/>
        <v>286.33</v>
      </c>
      <c r="Q24" s="164">
        <f t="shared" si="8"/>
        <v>24.19894230769231</v>
      </c>
      <c r="R24" s="164">
        <f t="shared" si="8"/>
        <v>0</v>
      </c>
      <c r="S24" s="164">
        <f t="shared" si="8"/>
        <v>35.066730769230773</v>
      </c>
      <c r="T24" s="240"/>
      <c r="U24" s="192"/>
      <c r="V24" s="196"/>
      <c r="W24" s="196"/>
      <c r="X24" s="197"/>
      <c r="Y24" s="196"/>
      <c r="Z24" s="196"/>
      <c r="AA24" s="196"/>
      <c r="AB24" s="196"/>
      <c r="AC24" s="196"/>
      <c r="AD24" s="196"/>
    </row>
    <row r="25" spans="1:30" s="79" customFormat="1" ht="30" customHeight="1">
      <c r="C25" s="220"/>
      <c r="G25" s="171"/>
      <c r="H25" s="188"/>
      <c r="I25" s="185" t="s">
        <v>39</v>
      </c>
      <c r="J25" s="155">
        <f>'Colorectal Benefit'!$R$15</f>
        <v>1441.3781090124412</v>
      </c>
      <c r="K25" s="155">
        <f>'Heart Disease Benefit'!$S$16</f>
        <v>1332.6418077395683</v>
      </c>
      <c r="L25" s="155">
        <f>'Stroke Benefits'!$U$18</f>
        <v>4265.2771383769777</v>
      </c>
      <c r="M25" s="155">
        <f>'Hypertension Benefit'!$S$29</f>
        <v>4903.9041707009201</v>
      </c>
      <c r="N25" s="155">
        <f>osteoporosis!$M$22</f>
        <v>2333.4852399999468</v>
      </c>
      <c r="O25" s="155">
        <f>'Type 2 Diabeties'!$Q$18</f>
        <v>2349.6673112603353</v>
      </c>
      <c r="P25" s="155">
        <f>Obesity!$N$32</f>
        <v>2679.2700404212778</v>
      </c>
      <c r="Q25" s="155">
        <f>FIGURES!$G$14</f>
        <v>1296.1370713710346</v>
      </c>
      <c r="R25" s="155">
        <v>0</v>
      </c>
      <c r="S25" s="204">
        <v>0</v>
      </c>
      <c r="T25" s="240"/>
      <c r="U25" s="192"/>
      <c r="V25" s="200"/>
      <c r="W25" s="200"/>
      <c r="X25" s="200"/>
      <c r="Y25" s="200"/>
      <c r="Z25" s="200"/>
      <c r="AA25" s="200"/>
      <c r="AB25" s="200"/>
      <c r="AC25" s="200"/>
      <c r="AD25" s="184"/>
    </row>
    <row r="26" spans="1:30" s="79" customFormat="1">
      <c r="C26" s="220"/>
      <c r="G26" s="171"/>
      <c r="H26" s="188"/>
      <c r="I26" s="256" t="s">
        <v>40</v>
      </c>
      <c r="J26" s="225">
        <f t="shared" ref="J26:S26" si="9">J24*J25</f>
        <v>26065.881723380986</v>
      </c>
      <c r="K26" s="225">
        <f t="shared" si="9"/>
        <v>209846.3479334962</v>
      </c>
      <c r="L26" s="257">
        <f t="shared" si="9"/>
        <v>147383.88236745895</v>
      </c>
      <c r="M26" s="259">
        <f t="shared" si="9"/>
        <v>87778.895198574188</v>
      </c>
      <c r="N26" s="225">
        <f t="shared" si="9"/>
        <v>6662.6505632413873</v>
      </c>
      <c r="O26" s="225">
        <f t="shared" si="9"/>
        <v>113255.88028532504</v>
      </c>
      <c r="P26" s="225">
        <f t="shared" si="9"/>
        <v>767155.39067382447</v>
      </c>
      <c r="Q26" s="225">
        <f t="shared" si="9"/>
        <v>31365.146212968935</v>
      </c>
      <c r="R26" s="225">
        <f>R24*R25</f>
        <v>0</v>
      </c>
      <c r="S26" s="225">
        <f t="shared" si="9"/>
        <v>0</v>
      </c>
      <c r="T26" s="240"/>
      <c r="U26" s="28"/>
      <c r="V26" s="201"/>
      <c r="W26" s="201"/>
      <c r="X26" s="201"/>
      <c r="Y26" s="201"/>
      <c r="Z26" s="201"/>
      <c r="AA26" s="201"/>
      <c r="AB26" s="201"/>
      <c r="AC26" s="201"/>
      <c r="AD26" s="201"/>
    </row>
    <row r="27" spans="1:30" s="79" customFormat="1">
      <c r="G27" s="171"/>
      <c r="H27" s="188"/>
      <c r="I27" s="256"/>
      <c r="J27" s="226"/>
      <c r="K27" s="226"/>
      <c r="L27" s="258"/>
      <c r="M27" s="260"/>
      <c r="N27" s="226"/>
      <c r="O27" s="226"/>
      <c r="P27" s="226"/>
      <c r="Q27" s="226"/>
      <c r="R27" s="226"/>
      <c r="S27" s="226"/>
      <c r="T27" s="240"/>
      <c r="U27" s="28"/>
      <c r="V27" s="202"/>
      <c r="W27" s="202"/>
      <c r="X27" s="202"/>
      <c r="Y27" s="202"/>
      <c r="Z27" s="202"/>
      <c r="AA27" s="202"/>
      <c r="AB27" s="202"/>
      <c r="AC27" s="202"/>
      <c r="AD27" s="202"/>
    </row>
    <row r="28" spans="1:30" s="79" customFormat="1">
      <c r="G28" s="171"/>
      <c r="H28" s="188"/>
      <c r="I28" s="186" t="s">
        <v>41</v>
      </c>
      <c r="J28" s="155">
        <f>SUM(J26:S27)</f>
        <v>1389514.0749582702</v>
      </c>
      <c r="K28" s="155"/>
      <c r="L28" s="155"/>
      <c r="M28" s="155"/>
      <c r="N28" s="155"/>
      <c r="O28" s="155"/>
      <c r="P28" s="155"/>
      <c r="Q28" s="155"/>
      <c r="R28" s="155"/>
      <c r="S28" s="204"/>
      <c r="T28" s="240"/>
      <c r="U28" s="189"/>
      <c r="V28" s="199"/>
      <c r="W28" s="199"/>
      <c r="X28" s="199"/>
      <c r="Y28" s="199"/>
      <c r="Z28" s="199"/>
      <c r="AA28" s="199"/>
      <c r="AB28" s="199"/>
      <c r="AC28" s="199"/>
      <c r="AD28" s="199"/>
    </row>
    <row r="29" spans="1:30" s="79" customFormat="1">
      <c r="G29" s="171"/>
      <c r="H29" s="188"/>
      <c r="I29" s="145"/>
      <c r="J29" s="111"/>
      <c r="K29" s="111"/>
      <c r="L29" s="111"/>
      <c r="M29" s="111"/>
      <c r="T29" s="240"/>
      <c r="U29" s="25"/>
      <c r="V29" s="25"/>
      <c r="W29" s="25"/>
      <c r="X29" s="25"/>
      <c r="Y29" s="25"/>
      <c r="Z29" s="25"/>
      <c r="AA29" s="25"/>
      <c r="AB29" s="25"/>
      <c r="AC29" s="25"/>
      <c r="AD29" s="25"/>
    </row>
    <row r="30" spans="1:30" s="79" customFormat="1">
      <c r="G30" s="171"/>
      <c r="H30" s="188"/>
      <c r="I30" s="145"/>
      <c r="J30" s="111"/>
      <c r="K30" s="111"/>
      <c r="L30" s="111"/>
      <c r="M30" s="111"/>
      <c r="T30" s="240"/>
      <c r="U30" s="25"/>
      <c r="V30" s="25"/>
      <c r="W30" s="25"/>
      <c r="X30" s="25"/>
      <c r="Y30" s="25"/>
      <c r="Z30" s="25"/>
      <c r="AA30" s="25"/>
      <c r="AB30" s="25"/>
      <c r="AC30" s="25"/>
      <c r="AD30" s="25"/>
    </row>
    <row r="31" spans="1:30" s="79" customFormat="1">
      <c r="G31" s="171"/>
      <c r="H31" s="188"/>
      <c r="I31" s="145"/>
      <c r="J31" s="161">
        <f t="shared" ref="J31:S31" si="10">J11+J26</f>
        <v>338793.98684475577</v>
      </c>
      <c r="K31" s="161">
        <f t="shared" si="10"/>
        <v>1119249.3392407391</v>
      </c>
      <c r="L31" s="161">
        <f t="shared" si="10"/>
        <v>1045901.0779182999</v>
      </c>
      <c r="M31" s="161">
        <f t="shared" si="10"/>
        <v>118225.32667758194</v>
      </c>
      <c r="N31" s="161">
        <f t="shared" si="10"/>
        <v>251272.19953169546</v>
      </c>
      <c r="O31" s="161">
        <f t="shared" si="10"/>
        <v>2560757.609933272</v>
      </c>
      <c r="P31" s="161">
        <f t="shared" si="10"/>
        <v>9379983.2761645913</v>
      </c>
      <c r="Q31" s="161">
        <f t="shared" si="10"/>
        <v>789326.77418058401</v>
      </c>
      <c r="R31" s="161">
        <f t="shared" si="10"/>
        <v>0</v>
      </c>
      <c r="S31" s="161">
        <f t="shared" si="10"/>
        <v>89042.466647635782</v>
      </c>
      <c r="T31" s="240"/>
      <c r="U31" s="25"/>
      <c r="V31" s="25"/>
      <c r="W31" s="25"/>
      <c r="X31" s="25"/>
      <c r="Y31" s="25"/>
      <c r="Z31" s="25"/>
      <c r="AA31" s="25"/>
      <c r="AB31" s="25"/>
      <c r="AC31" s="25"/>
      <c r="AD31" s="25"/>
    </row>
    <row r="32" spans="1:30" s="79" customFormat="1">
      <c r="G32" s="171"/>
      <c r="H32" s="188"/>
      <c r="I32" s="145"/>
      <c r="J32" s="111">
        <v>338793.98684475577</v>
      </c>
      <c r="K32" s="111">
        <v>1119249.3392407391</v>
      </c>
      <c r="L32" s="111">
        <v>1045901.0779182999</v>
      </c>
      <c r="M32" s="111">
        <v>118225.32667758194</v>
      </c>
      <c r="N32" s="79">
        <v>251272.19953169546</v>
      </c>
      <c r="O32" s="79">
        <v>2560757.609933272</v>
      </c>
      <c r="P32" s="79">
        <v>9379983.2761645913</v>
      </c>
      <c r="Q32" s="79">
        <v>789326.77418058401</v>
      </c>
      <c r="R32" s="79">
        <v>658670.02210529894</v>
      </c>
      <c r="S32" s="79">
        <v>89042.466647635782</v>
      </c>
      <c r="T32" s="240"/>
      <c r="U32" s="25"/>
      <c r="V32" s="25"/>
      <c r="W32" s="25"/>
      <c r="X32" s="25"/>
      <c r="Y32" s="25"/>
      <c r="Z32" s="25"/>
      <c r="AA32" s="25"/>
      <c r="AB32" s="25"/>
      <c r="AC32" s="25"/>
      <c r="AD32" s="25"/>
    </row>
    <row r="33" spans="4:30" s="79" customFormat="1">
      <c r="G33" s="171"/>
      <c r="H33" s="188"/>
      <c r="I33" s="145"/>
      <c r="J33" s="111" t="s">
        <v>3</v>
      </c>
      <c r="K33" s="111"/>
      <c r="L33" s="111"/>
      <c r="M33" s="111"/>
      <c r="T33" s="240"/>
      <c r="U33" s="25"/>
      <c r="V33" s="25"/>
      <c r="W33" s="25"/>
      <c r="X33" s="25"/>
      <c r="Y33" s="25"/>
      <c r="Z33" s="25"/>
      <c r="AA33" s="25"/>
      <c r="AB33" s="25"/>
      <c r="AC33" s="25"/>
      <c r="AD33" s="25"/>
    </row>
    <row r="34" spans="4:30" s="79" customFormat="1">
      <c r="G34" s="171"/>
      <c r="H34" s="188"/>
      <c r="I34" s="79" t="s">
        <v>42</v>
      </c>
      <c r="J34" s="79">
        <v>1507</v>
      </c>
      <c r="L34" s="111"/>
      <c r="M34" s="111"/>
      <c r="T34" s="240"/>
      <c r="U34" s="25"/>
      <c r="V34" s="25"/>
      <c r="W34" s="25"/>
      <c r="X34" s="25"/>
      <c r="Y34" s="25"/>
      <c r="Z34" s="25"/>
      <c r="AA34" s="25"/>
      <c r="AB34" s="25"/>
      <c r="AC34" s="25"/>
      <c r="AD34" s="25"/>
    </row>
    <row r="35" spans="4:30" s="79" customFormat="1">
      <c r="D35" s="108"/>
      <c r="E35" s="144"/>
      <c r="G35" s="171"/>
      <c r="H35" s="188"/>
      <c r="I35" s="145" t="s">
        <v>43</v>
      </c>
      <c r="J35" s="89">
        <f>$J$13</f>
        <v>14303037.982180886</v>
      </c>
      <c r="K35" s="161"/>
      <c r="L35" s="161"/>
      <c r="M35" s="111"/>
      <c r="T35" s="240"/>
      <c r="U35" s="25"/>
      <c r="V35" s="25"/>
      <c r="W35" s="25"/>
      <c r="X35" s="25"/>
      <c r="Y35" s="25"/>
      <c r="Z35" s="25"/>
      <c r="AA35" s="25"/>
      <c r="AB35" s="25"/>
      <c r="AC35" s="25"/>
      <c r="AD35" s="25"/>
    </row>
    <row r="36" spans="4:30" s="79" customFormat="1">
      <c r="D36" s="250" t="s">
        <v>36</v>
      </c>
      <c r="E36" s="253" t="s">
        <v>37</v>
      </c>
      <c r="G36" s="171"/>
      <c r="H36" s="188"/>
      <c r="I36" s="145" t="s">
        <v>44</v>
      </c>
      <c r="J36" s="89">
        <f>(J35/J34)</f>
        <v>9491.0670087464405</v>
      </c>
      <c r="K36" s="161"/>
      <c r="L36" s="161"/>
      <c r="M36" s="111"/>
      <c r="T36" s="240"/>
      <c r="U36" s="25"/>
      <c r="V36" s="25"/>
      <c r="W36" s="25"/>
      <c r="X36" s="25"/>
      <c r="Y36" s="25"/>
      <c r="Z36" s="25"/>
      <c r="AA36" s="25"/>
      <c r="AB36" s="25"/>
      <c r="AC36" s="25"/>
      <c r="AD36" s="25"/>
    </row>
    <row r="37" spans="4:30" s="79" customFormat="1">
      <c r="D37" s="251"/>
      <c r="E37" s="254"/>
      <c r="G37" s="171"/>
      <c r="H37" s="188"/>
      <c r="I37" s="145" t="s">
        <v>45</v>
      </c>
      <c r="J37" s="89">
        <f>$J$28</f>
        <v>1389514.0749582702</v>
      </c>
      <c r="K37" s="161"/>
      <c r="L37" s="161"/>
      <c r="M37" s="111"/>
      <c r="T37" s="240"/>
      <c r="U37" s="25"/>
      <c r="V37" s="25"/>
      <c r="W37" s="25"/>
      <c r="X37" s="25"/>
      <c r="Y37" s="25"/>
      <c r="Z37" s="25"/>
      <c r="AA37" s="25"/>
      <c r="AB37" s="25"/>
      <c r="AC37" s="25"/>
      <c r="AD37" s="25"/>
    </row>
    <row r="38" spans="4:30" s="79" customFormat="1">
      <c r="D38" s="251"/>
      <c r="E38" s="254"/>
      <c r="G38" s="171"/>
      <c r="H38" s="188"/>
      <c r="I38" s="145" t="s">
        <v>46</v>
      </c>
      <c r="J38" s="89">
        <f>(J37/J34)</f>
        <v>922.03986394045796</v>
      </c>
      <c r="K38" s="161"/>
      <c r="L38" s="161"/>
      <c r="M38" s="111"/>
      <c r="T38" s="240"/>
      <c r="U38" s="25"/>
      <c r="V38" s="25"/>
      <c r="W38" s="25"/>
      <c r="X38" s="25"/>
      <c r="Y38" s="25"/>
      <c r="Z38" s="25"/>
      <c r="AA38" s="25"/>
      <c r="AB38" s="25"/>
      <c r="AC38" s="25"/>
      <c r="AD38" s="25"/>
    </row>
    <row r="39" spans="4:30" s="79" customFormat="1">
      <c r="D39" s="251"/>
      <c r="E39" s="254"/>
      <c r="G39" s="171"/>
      <c r="H39" s="188"/>
      <c r="I39" s="145" t="s">
        <v>47</v>
      </c>
      <c r="J39" s="89">
        <f>SUM(J35,J37)</f>
        <v>15692552.057139156</v>
      </c>
      <c r="K39" s="161"/>
      <c r="L39" s="161"/>
      <c r="M39" s="111"/>
      <c r="T39" s="240"/>
      <c r="U39" s="25"/>
      <c r="V39" s="25"/>
      <c r="W39" s="25"/>
      <c r="X39" s="25"/>
      <c r="Y39" s="25"/>
      <c r="Z39" s="25"/>
      <c r="AA39" s="25"/>
      <c r="AB39" s="25"/>
      <c r="AC39" s="25"/>
      <c r="AD39" s="25"/>
    </row>
    <row r="40" spans="4:30" s="79" customFormat="1">
      <c r="D40" s="251"/>
      <c r="E40" s="254"/>
      <c r="G40" s="171"/>
      <c r="H40" s="188"/>
      <c r="I40" s="145" t="s">
        <v>48</v>
      </c>
      <c r="J40" s="89">
        <f>J39/J34</f>
        <v>10413.106872686898</v>
      </c>
      <c r="K40" s="161"/>
      <c r="L40" s="161"/>
      <c r="M40" s="111"/>
      <c r="T40" s="240"/>
      <c r="U40" s="25"/>
      <c r="V40" s="25"/>
      <c r="W40" s="25"/>
      <c r="X40" s="25"/>
      <c r="Y40" s="25"/>
      <c r="Z40" s="25"/>
      <c r="AA40" s="25"/>
      <c r="AB40" s="25"/>
      <c r="AC40" s="25"/>
      <c r="AD40" s="25"/>
    </row>
    <row r="41" spans="4:30" s="79" customFormat="1">
      <c r="D41" s="251"/>
      <c r="E41" s="254"/>
      <c r="G41" s="171"/>
      <c r="H41" s="188"/>
      <c r="I41" s="145" t="s">
        <v>49</v>
      </c>
      <c r="J41" s="89">
        <v>1822135.8199999998</v>
      </c>
      <c r="K41" s="162"/>
      <c r="L41" s="162"/>
      <c r="M41" s="111"/>
      <c r="T41" s="240"/>
      <c r="U41" s="25"/>
      <c r="V41" s="25"/>
      <c r="W41" s="25"/>
      <c r="X41" s="25"/>
      <c r="Y41" s="25"/>
      <c r="Z41" s="25"/>
      <c r="AA41" s="25"/>
      <c r="AB41" s="25"/>
      <c r="AC41" s="25"/>
      <c r="AD41" s="25"/>
    </row>
    <row r="42" spans="4:30" s="79" customFormat="1">
      <c r="D42" s="251"/>
      <c r="E42" s="254"/>
      <c r="G42" s="171"/>
      <c r="H42" s="188"/>
      <c r="I42" s="145" t="s">
        <v>50</v>
      </c>
      <c r="J42" s="89">
        <f>J41/J34</f>
        <v>1209.1146781685466</v>
      </c>
      <c r="K42" s="162"/>
      <c r="L42" s="162"/>
      <c r="M42" s="111"/>
      <c r="T42" s="240"/>
      <c r="U42" s="25"/>
      <c r="V42" s="25"/>
      <c r="W42" s="25"/>
      <c r="X42" s="25"/>
      <c r="Y42" s="25"/>
      <c r="Z42" s="25"/>
      <c r="AA42" s="25"/>
      <c r="AB42" s="25"/>
      <c r="AC42" s="25"/>
      <c r="AD42" s="25"/>
    </row>
    <row r="43" spans="4:30" s="79" customFormat="1">
      <c r="D43" s="251"/>
      <c r="E43" s="254"/>
      <c r="G43" s="171"/>
      <c r="H43" s="188"/>
      <c r="I43" s="145" t="s">
        <v>51</v>
      </c>
      <c r="J43" s="207">
        <f>J40/J42</f>
        <v>8.6121747264367805</v>
      </c>
      <c r="K43" s="163"/>
      <c r="L43" s="111"/>
      <c r="M43" s="111"/>
      <c r="T43" s="240"/>
      <c r="U43" s="25"/>
      <c r="V43" s="25"/>
      <c r="W43" s="25"/>
      <c r="X43" s="25"/>
      <c r="Y43" s="25"/>
      <c r="Z43" s="25"/>
      <c r="AA43" s="25"/>
      <c r="AB43" s="25"/>
      <c r="AC43" s="25"/>
      <c r="AD43" s="25"/>
    </row>
    <row r="44" spans="4:30" s="79" customFormat="1">
      <c r="D44" s="251"/>
      <c r="E44" s="254"/>
      <c r="G44" s="171"/>
      <c r="H44" s="188"/>
      <c r="I44" s="145"/>
      <c r="J44" s="111"/>
      <c r="K44" s="111"/>
      <c r="L44" s="111"/>
      <c r="M44" s="111"/>
      <c r="T44" s="240"/>
      <c r="U44" s="25"/>
      <c r="V44" s="25"/>
      <c r="W44" s="25"/>
      <c r="X44" s="25"/>
      <c r="Y44" s="25"/>
      <c r="Z44" s="25"/>
      <c r="AA44" s="25"/>
      <c r="AB44" s="25"/>
      <c r="AC44" s="25"/>
      <c r="AD44" s="25"/>
    </row>
    <row r="45" spans="4:30" s="79" customFormat="1">
      <c r="D45" s="251"/>
      <c r="E45" s="254"/>
      <c r="G45" s="171"/>
      <c r="H45" s="188"/>
      <c r="I45" s="145"/>
      <c r="J45" s="111">
        <v>338793.98684475577</v>
      </c>
      <c r="K45" s="111">
        <v>1119249.3392407391</v>
      </c>
      <c r="L45" s="111">
        <v>1045901.0779182999</v>
      </c>
      <c r="M45" s="111">
        <v>118225.32667758194</v>
      </c>
      <c r="N45" s="79">
        <v>251272.19953169546</v>
      </c>
      <c r="O45" s="79">
        <v>2560757.609933272</v>
      </c>
      <c r="P45" s="79">
        <v>9379983.2761645913</v>
      </c>
      <c r="Q45" s="79">
        <v>789326.77418058401</v>
      </c>
      <c r="R45" s="79">
        <v>131734.0044210598</v>
      </c>
      <c r="S45" s="79">
        <v>89042.466647635782</v>
      </c>
      <c r="T45" s="240"/>
      <c r="U45" s="25"/>
      <c r="V45" s="25"/>
      <c r="W45" s="25"/>
      <c r="X45" s="25"/>
      <c r="Y45" s="25"/>
      <c r="Z45" s="25"/>
      <c r="AA45" s="25"/>
      <c r="AB45" s="25"/>
      <c r="AC45" s="25"/>
      <c r="AD45" s="25"/>
    </row>
    <row r="46" spans="4:30" s="79" customFormat="1">
      <c r="D46" s="251"/>
      <c r="E46" s="254"/>
      <c r="G46" s="171"/>
      <c r="H46" s="188"/>
      <c r="I46" s="145"/>
      <c r="J46" s="111"/>
      <c r="K46" s="111"/>
      <c r="L46" s="111"/>
      <c r="M46" s="111"/>
      <c r="T46" s="240"/>
      <c r="U46" s="25"/>
      <c r="V46" s="25"/>
      <c r="W46" s="25"/>
      <c r="X46" s="25"/>
      <c r="Y46" s="25"/>
      <c r="Z46" s="25"/>
      <c r="AA46" s="25"/>
      <c r="AB46" s="25"/>
      <c r="AC46" s="25"/>
      <c r="AD46" s="25"/>
    </row>
    <row r="47" spans="4:30" s="79" customFormat="1">
      <c r="D47" s="251"/>
      <c r="E47" s="254"/>
      <c r="G47" s="171"/>
      <c r="H47" s="188"/>
      <c r="I47" s="145"/>
      <c r="J47" s="111"/>
      <c r="K47" s="111"/>
      <c r="L47" s="111"/>
      <c r="M47" s="111"/>
      <c r="T47" s="240"/>
      <c r="U47" s="25"/>
      <c r="V47" s="25"/>
      <c r="W47" s="25"/>
      <c r="X47" s="25"/>
      <c r="Y47" s="25"/>
      <c r="Z47" s="25"/>
      <c r="AA47" s="25"/>
      <c r="AB47" s="25"/>
      <c r="AC47" s="25"/>
      <c r="AD47" s="25"/>
    </row>
    <row r="48" spans="4:30" s="79" customFormat="1">
      <c r="D48" s="251"/>
      <c r="E48" s="254"/>
      <c r="G48" s="171"/>
      <c r="H48" s="188"/>
      <c r="I48" s="145"/>
      <c r="J48" s="111"/>
      <c r="K48" s="111"/>
      <c r="L48" s="111"/>
      <c r="M48" s="111"/>
      <c r="T48" s="240"/>
      <c r="U48" s="25"/>
      <c r="V48" s="25"/>
      <c r="W48" s="25"/>
      <c r="X48" s="25"/>
      <c r="Y48" s="25"/>
      <c r="Z48" s="25"/>
      <c r="AA48" s="25"/>
      <c r="AB48" s="25"/>
      <c r="AC48" s="25"/>
      <c r="AD48" s="25"/>
    </row>
    <row r="49" spans="4:30" s="79" customFormat="1">
      <c r="D49" s="251"/>
      <c r="E49" s="254"/>
      <c r="G49" s="171"/>
      <c r="H49" s="188"/>
      <c r="I49" s="145"/>
      <c r="J49" s="111"/>
      <c r="K49" s="111"/>
      <c r="L49" s="111"/>
      <c r="M49" s="111"/>
      <c r="T49" s="240"/>
      <c r="U49" s="25"/>
      <c r="V49" s="25"/>
      <c r="W49" s="25"/>
      <c r="X49" s="25"/>
      <c r="Y49" s="25"/>
      <c r="Z49" s="25"/>
      <c r="AA49" s="25"/>
      <c r="AB49" s="25"/>
      <c r="AC49" s="25"/>
      <c r="AD49" s="25"/>
    </row>
    <row r="50" spans="4:30" s="79" customFormat="1">
      <c r="D50" s="251"/>
      <c r="E50" s="254"/>
      <c r="G50" s="171"/>
      <c r="H50" s="188"/>
      <c r="I50" s="145"/>
      <c r="J50" s="111"/>
      <c r="K50" s="111"/>
      <c r="L50" s="111"/>
      <c r="M50" s="111"/>
      <c r="T50" s="240"/>
      <c r="U50" s="25"/>
      <c r="V50" s="25"/>
      <c r="W50" s="25"/>
      <c r="X50" s="25"/>
      <c r="Y50" s="25"/>
      <c r="Z50" s="25"/>
      <c r="AA50" s="25"/>
      <c r="AB50" s="25"/>
      <c r="AC50" s="25"/>
      <c r="AD50" s="25"/>
    </row>
    <row r="51" spans="4:30" s="79" customFormat="1">
      <c r="D51" s="251"/>
      <c r="E51" s="254"/>
      <c r="G51" s="171"/>
      <c r="H51" s="188"/>
      <c r="I51" s="145"/>
      <c r="J51" s="111"/>
      <c r="K51" s="111"/>
      <c r="L51" s="111"/>
      <c r="M51" s="111"/>
      <c r="T51" s="240"/>
      <c r="U51" s="25"/>
      <c r="V51" s="25"/>
      <c r="W51" s="25"/>
      <c r="X51" s="25"/>
      <c r="Y51" s="25"/>
      <c r="Z51" s="25"/>
      <c r="AA51" s="25"/>
      <c r="AB51" s="25"/>
      <c r="AC51" s="25"/>
      <c r="AD51" s="25"/>
    </row>
    <row r="52" spans="4:30" s="79" customFormat="1">
      <c r="D52" s="252"/>
      <c r="E52" s="255"/>
      <c r="G52" s="171"/>
      <c r="H52" s="188"/>
      <c r="I52" s="145"/>
      <c r="J52" s="111"/>
      <c r="K52" s="111"/>
      <c r="L52" s="111"/>
      <c r="M52" s="111"/>
      <c r="T52" s="240"/>
      <c r="U52" s="25"/>
      <c r="V52" s="25"/>
      <c r="W52" s="25"/>
      <c r="X52" s="25"/>
      <c r="Y52" s="25"/>
      <c r="Z52" s="25"/>
      <c r="AA52" s="25"/>
      <c r="AB52" s="25"/>
      <c r="AC52" s="25"/>
      <c r="AD52" s="25"/>
    </row>
    <row r="53" spans="4:30" s="79" customFormat="1">
      <c r="D53" s="108"/>
      <c r="E53" s="144"/>
      <c r="G53" s="171"/>
      <c r="H53" s="188"/>
      <c r="I53" s="145"/>
      <c r="J53" s="111"/>
      <c r="K53" s="111"/>
      <c r="L53" s="111"/>
      <c r="M53" s="111"/>
      <c r="T53" s="240"/>
      <c r="U53" s="25"/>
      <c r="V53" s="25"/>
      <c r="W53" s="25"/>
      <c r="X53" s="25"/>
      <c r="Y53" s="25"/>
      <c r="Z53" s="25"/>
      <c r="AA53" s="25"/>
      <c r="AB53" s="25"/>
      <c r="AC53" s="25"/>
      <c r="AD53" s="25"/>
    </row>
    <row r="54" spans="4:30" s="79" customFormat="1">
      <c r="D54" s="108"/>
      <c r="E54" s="144"/>
      <c r="G54" s="171"/>
      <c r="H54" s="188"/>
      <c r="I54" s="145"/>
      <c r="J54" s="111"/>
      <c r="K54" s="111"/>
      <c r="L54" s="111"/>
      <c r="M54" s="111"/>
      <c r="T54" s="240"/>
      <c r="U54" s="25"/>
      <c r="V54" s="25"/>
      <c r="W54" s="25"/>
      <c r="X54" s="25"/>
      <c r="Y54" s="25"/>
      <c r="Z54" s="25"/>
      <c r="AA54" s="25"/>
      <c r="AB54" s="25"/>
      <c r="AC54" s="25"/>
      <c r="AD54" s="25"/>
    </row>
    <row r="55" spans="4:30" s="79" customFormat="1">
      <c r="D55" s="108"/>
      <c r="E55" s="144"/>
      <c r="G55" s="171"/>
      <c r="H55" s="188"/>
      <c r="I55" s="145"/>
      <c r="J55" s="111"/>
      <c r="K55" s="111"/>
      <c r="L55" s="111"/>
      <c r="M55" s="111"/>
      <c r="T55" s="240"/>
      <c r="U55" s="25"/>
      <c r="V55" s="25"/>
      <c r="W55" s="25"/>
      <c r="X55" s="25"/>
      <c r="Y55" s="25"/>
      <c r="Z55" s="25"/>
      <c r="AA55" s="25"/>
      <c r="AB55" s="25"/>
      <c r="AC55" s="25"/>
      <c r="AD55" s="25"/>
    </row>
    <row r="56" spans="4:30" s="79" customFormat="1">
      <c r="D56" s="108"/>
      <c r="E56" s="144"/>
      <c r="G56" s="171"/>
      <c r="H56" s="188"/>
      <c r="I56" s="145"/>
      <c r="J56" s="111"/>
      <c r="K56" s="111"/>
      <c r="L56" s="111"/>
      <c r="M56" s="111"/>
      <c r="T56" s="240"/>
      <c r="U56" s="25"/>
      <c r="V56" s="25"/>
      <c r="W56" s="25"/>
      <c r="X56" s="25"/>
      <c r="Y56" s="25"/>
      <c r="Z56" s="25"/>
      <c r="AA56" s="25"/>
      <c r="AB56" s="25"/>
      <c r="AC56" s="25"/>
      <c r="AD56" s="25"/>
    </row>
    <row r="57" spans="4:30" s="79" customFormat="1">
      <c r="D57" s="108"/>
      <c r="E57" s="144"/>
      <c r="G57" s="171"/>
      <c r="H57" s="188"/>
      <c r="I57" s="145"/>
      <c r="J57" s="111"/>
      <c r="K57" s="111"/>
      <c r="L57" s="111"/>
      <c r="M57" s="111"/>
      <c r="T57" s="240"/>
      <c r="U57" s="25"/>
      <c r="V57" s="25"/>
      <c r="W57" s="25"/>
      <c r="X57" s="25"/>
      <c r="Y57" s="25"/>
      <c r="Z57" s="25"/>
      <c r="AA57" s="25"/>
      <c r="AB57" s="25"/>
      <c r="AC57" s="25"/>
      <c r="AD57" s="25"/>
    </row>
    <row r="58" spans="4:30" s="79" customFormat="1">
      <c r="D58" s="108"/>
      <c r="E58" s="144"/>
      <c r="G58" s="171"/>
      <c r="H58" s="188"/>
      <c r="I58" s="145"/>
      <c r="J58" s="111"/>
      <c r="K58" s="111"/>
      <c r="L58" s="111"/>
      <c r="M58" s="111"/>
      <c r="T58" s="240"/>
      <c r="U58" s="25"/>
      <c r="V58" s="25"/>
      <c r="W58" s="25"/>
      <c r="X58" s="25"/>
      <c r="Y58" s="25"/>
      <c r="Z58" s="25"/>
      <c r="AA58" s="25"/>
      <c r="AB58" s="25"/>
      <c r="AC58" s="25"/>
      <c r="AD58" s="25"/>
    </row>
    <row r="59" spans="4:30" s="79" customFormat="1">
      <c r="D59" s="108"/>
      <c r="E59" s="144"/>
      <c r="G59" s="171"/>
      <c r="H59" s="188"/>
      <c r="I59" s="145"/>
      <c r="J59" s="111"/>
      <c r="K59" s="111"/>
      <c r="L59" s="111"/>
      <c r="M59" s="111"/>
      <c r="T59" s="240"/>
      <c r="U59" s="25"/>
      <c r="V59" s="25"/>
      <c r="W59" s="25"/>
      <c r="X59" s="25"/>
      <c r="Y59" s="25"/>
      <c r="Z59" s="25"/>
      <c r="AA59" s="25"/>
      <c r="AB59" s="25"/>
      <c r="AC59" s="25"/>
      <c r="AD59" s="25"/>
    </row>
    <row r="60" spans="4:30" s="79" customFormat="1">
      <c r="D60" s="108"/>
      <c r="E60" s="144"/>
      <c r="G60" s="171"/>
      <c r="H60" s="188"/>
      <c r="I60" s="145"/>
      <c r="J60" s="111"/>
      <c r="K60" s="111"/>
      <c r="L60" s="111"/>
      <c r="M60" s="111"/>
      <c r="T60" s="240"/>
      <c r="U60" s="25"/>
      <c r="V60" s="25"/>
      <c r="W60" s="25"/>
      <c r="X60" s="25"/>
      <c r="Y60" s="25"/>
      <c r="Z60" s="25"/>
      <c r="AA60" s="25"/>
      <c r="AB60" s="25"/>
      <c r="AC60" s="25"/>
      <c r="AD60" s="25"/>
    </row>
    <row r="61" spans="4:30" s="79" customFormat="1">
      <c r="D61" s="108"/>
      <c r="E61" s="144"/>
      <c r="G61" s="171"/>
      <c r="H61" s="188"/>
      <c r="I61" s="145"/>
      <c r="J61" s="111"/>
      <c r="K61" s="111"/>
      <c r="L61" s="111"/>
      <c r="M61" s="111"/>
      <c r="T61" s="240"/>
      <c r="U61" s="25"/>
      <c r="V61" s="25"/>
      <c r="W61" s="25"/>
      <c r="X61" s="25"/>
      <c r="Y61" s="25"/>
      <c r="Z61" s="25"/>
      <c r="AA61" s="25"/>
      <c r="AB61" s="25"/>
      <c r="AC61" s="25"/>
      <c r="AD61" s="25"/>
    </row>
    <row r="62" spans="4:30" s="79" customFormat="1">
      <c r="D62" s="108"/>
      <c r="E62" s="144"/>
      <c r="G62" s="171"/>
      <c r="H62" s="188"/>
      <c r="I62" s="145"/>
      <c r="J62" s="111"/>
      <c r="K62" s="111"/>
      <c r="L62" s="111"/>
      <c r="M62" s="111"/>
      <c r="T62" s="240"/>
      <c r="U62" s="25"/>
      <c r="V62" s="25"/>
      <c r="W62" s="25"/>
      <c r="X62" s="25"/>
      <c r="Y62" s="25"/>
      <c r="Z62" s="25"/>
      <c r="AA62" s="25"/>
      <c r="AB62" s="25"/>
      <c r="AC62" s="25"/>
      <c r="AD62" s="25"/>
    </row>
    <row r="63" spans="4:30" s="79" customFormat="1">
      <c r="D63" s="108"/>
      <c r="E63" s="144"/>
      <c r="G63" s="171"/>
      <c r="H63" s="188"/>
      <c r="I63" s="145"/>
      <c r="J63" s="111"/>
      <c r="K63" s="111"/>
      <c r="L63" s="111"/>
      <c r="M63" s="111"/>
      <c r="T63" s="240"/>
      <c r="U63" s="25"/>
      <c r="V63" s="25"/>
      <c r="W63" s="25"/>
      <c r="X63" s="25"/>
      <c r="Y63" s="25"/>
      <c r="Z63" s="25"/>
      <c r="AA63" s="25"/>
      <c r="AB63" s="25"/>
      <c r="AC63" s="25"/>
      <c r="AD63" s="25"/>
    </row>
    <row r="64" spans="4:30" s="79" customFormat="1">
      <c r="D64" s="108"/>
      <c r="E64" s="144"/>
      <c r="G64" s="171"/>
      <c r="H64" s="188"/>
      <c r="I64" s="145"/>
      <c r="J64" s="111"/>
      <c r="K64" s="111"/>
      <c r="L64" s="111"/>
      <c r="M64" s="111"/>
      <c r="T64" s="240"/>
      <c r="U64" s="25"/>
      <c r="V64" s="25"/>
      <c r="W64" s="25"/>
      <c r="X64" s="25"/>
      <c r="Y64" s="25"/>
      <c r="Z64" s="25"/>
      <c r="AA64" s="25"/>
      <c r="AB64" s="25"/>
      <c r="AC64" s="25"/>
      <c r="AD64" s="25"/>
    </row>
    <row r="65" spans="4:30" s="79" customFormat="1">
      <c r="D65" s="108"/>
      <c r="E65" s="144"/>
      <c r="G65" s="171"/>
      <c r="H65" s="188"/>
      <c r="I65" s="145"/>
      <c r="J65" s="111"/>
      <c r="K65" s="111"/>
      <c r="L65" s="111"/>
      <c r="M65" s="111"/>
      <c r="T65" s="240"/>
      <c r="U65" s="25"/>
      <c r="V65" s="25"/>
      <c r="W65" s="25"/>
      <c r="X65" s="25"/>
      <c r="Y65" s="25"/>
      <c r="Z65" s="25"/>
      <c r="AA65" s="25"/>
      <c r="AB65" s="25"/>
      <c r="AC65" s="25"/>
      <c r="AD65" s="25"/>
    </row>
    <row r="66" spans="4:30" s="79" customFormat="1">
      <c r="D66" s="108"/>
      <c r="E66" s="144"/>
      <c r="G66" s="171"/>
      <c r="H66" s="188"/>
      <c r="I66" s="145"/>
      <c r="J66" s="111"/>
      <c r="K66" s="111"/>
      <c r="L66" s="111"/>
      <c r="M66" s="111"/>
      <c r="T66" s="240"/>
      <c r="U66" s="25"/>
      <c r="V66" s="25"/>
      <c r="W66" s="25"/>
      <c r="X66" s="25"/>
      <c r="Y66" s="25"/>
      <c r="Z66" s="25"/>
      <c r="AA66" s="25"/>
      <c r="AB66" s="25"/>
      <c r="AC66" s="25"/>
      <c r="AD66" s="25"/>
    </row>
    <row r="67" spans="4:30" s="79" customFormat="1">
      <c r="D67" s="108"/>
      <c r="E67" s="144"/>
      <c r="G67" s="171"/>
      <c r="H67" s="188"/>
      <c r="I67" s="145"/>
      <c r="J67" s="111"/>
      <c r="K67" s="111"/>
      <c r="L67" s="111"/>
      <c r="M67" s="111"/>
      <c r="T67" s="240"/>
      <c r="U67" s="25"/>
      <c r="V67" s="25"/>
      <c r="W67" s="25"/>
      <c r="X67" s="25"/>
      <c r="Y67" s="25"/>
      <c r="Z67" s="25"/>
      <c r="AA67" s="25"/>
      <c r="AB67" s="25"/>
      <c r="AC67" s="25"/>
      <c r="AD67" s="25"/>
    </row>
    <row r="68" spans="4:30" s="79" customFormat="1">
      <c r="D68" s="108"/>
      <c r="E68" s="144"/>
      <c r="G68" s="171"/>
      <c r="H68" s="188"/>
      <c r="I68" s="145"/>
      <c r="J68" s="111"/>
      <c r="K68" s="111"/>
      <c r="L68" s="111"/>
      <c r="M68" s="111"/>
      <c r="T68" s="240"/>
      <c r="U68" s="25"/>
      <c r="V68" s="25"/>
      <c r="W68" s="25"/>
      <c r="X68" s="25"/>
      <c r="Y68" s="25"/>
      <c r="Z68" s="25"/>
      <c r="AA68" s="25"/>
      <c r="AB68" s="25"/>
      <c r="AC68" s="25"/>
      <c r="AD68" s="25"/>
    </row>
    <row r="69" spans="4:30" s="79" customFormat="1">
      <c r="D69" s="108"/>
      <c r="E69" s="144"/>
      <c r="G69" s="171"/>
      <c r="H69" s="188"/>
      <c r="I69" s="145"/>
      <c r="J69" s="111"/>
      <c r="K69" s="111"/>
      <c r="L69" s="111"/>
      <c r="M69" s="111"/>
      <c r="T69" s="240"/>
      <c r="U69" s="25"/>
      <c r="V69" s="25"/>
      <c r="W69" s="25"/>
      <c r="X69" s="25"/>
      <c r="Y69" s="25"/>
      <c r="Z69" s="25"/>
      <c r="AA69" s="25"/>
      <c r="AB69" s="25"/>
      <c r="AC69" s="25"/>
      <c r="AD69" s="25"/>
    </row>
    <row r="70" spans="4:30" s="79" customFormat="1">
      <c r="D70" s="108"/>
      <c r="E70" s="144"/>
      <c r="G70" s="171"/>
      <c r="H70" s="188"/>
      <c r="I70" s="145"/>
      <c r="J70" s="111"/>
      <c r="K70" s="111"/>
      <c r="L70" s="111"/>
      <c r="M70" s="111"/>
      <c r="T70" s="240"/>
      <c r="U70" s="25"/>
      <c r="V70" s="25"/>
      <c r="W70" s="25"/>
      <c r="X70" s="25"/>
      <c r="Y70" s="25"/>
      <c r="Z70" s="25"/>
      <c r="AA70" s="25"/>
      <c r="AB70" s="25"/>
      <c r="AC70" s="25"/>
      <c r="AD70" s="25"/>
    </row>
    <row r="71" spans="4:30" s="79" customFormat="1">
      <c r="D71" s="108"/>
      <c r="E71" s="144"/>
      <c r="G71" s="171"/>
      <c r="H71" s="188"/>
      <c r="I71" s="145"/>
      <c r="J71" s="111"/>
      <c r="K71" s="111"/>
      <c r="L71" s="111"/>
      <c r="M71" s="111"/>
      <c r="T71" s="240"/>
      <c r="U71" s="25"/>
      <c r="V71" s="25"/>
      <c r="W71" s="25"/>
      <c r="X71" s="25"/>
      <c r="Y71" s="25"/>
      <c r="Z71" s="25"/>
      <c r="AA71" s="25"/>
      <c r="AB71" s="25"/>
      <c r="AC71" s="25"/>
      <c r="AD71" s="25"/>
    </row>
  </sheetData>
  <mergeCells count="32">
    <mergeCell ref="R26:R27"/>
    <mergeCell ref="M26:M27"/>
    <mergeCell ref="N26:N27"/>
    <mergeCell ref="O26:O27"/>
    <mergeCell ref="P26:P27"/>
    <mergeCell ref="Q26:Q27"/>
    <mergeCell ref="E36:E52"/>
    <mergeCell ref="I26:I27"/>
    <mergeCell ref="J26:J27"/>
    <mergeCell ref="K26:K27"/>
    <mergeCell ref="L26:L27"/>
    <mergeCell ref="T1:T1048576"/>
    <mergeCell ref="A3:E3"/>
    <mergeCell ref="A9:E11"/>
    <mergeCell ref="J11:J12"/>
    <mergeCell ref="K11:K12"/>
    <mergeCell ref="L11:L12"/>
    <mergeCell ref="M11:M12"/>
    <mergeCell ref="N11:N12"/>
    <mergeCell ref="O11:O12"/>
    <mergeCell ref="P11:P12"/>
    <mergeCell ref="Q11:Q12"/>
    <mergeCell ref="S26:S27"/>
    <mergeCell ref="A16:E16"/>
    <mergeCell ref="I16:I19"/>
    <mergeCell ref="J16:S18"/>
    <mergeCell ref="D36:D52"/>
    <mergeCell ref="R11:R12"/>
    <mergeCell ref="S11:S12"/>
    <mergeCell ref="A1:E2"/>
    <mergeCell ref="I1:I4"/>
    <mergeCell ref="J1:S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7030A0"/>
  </sheetPr>
  <dimension ref="A1:AK71"/>
  <sheetViews>
    <sheetView zoomScale="85" zoomScaleNormal="85" zoomScaleSheetLayoutView="110" workbookViewId="0">
      <selection activeCell="S42" sqref="S42"/>
    </sheetView>
  </sheetViews>
  <sheetFormatPr defaultRowHeight="15"/>
  <cols>
    <col min="1" max="1" width="17.28515625" bestFit="1" customWidth="1"/>
    <col min="2" max="3" width="17.28515625" customWidth="1"/>
    <col min="4" max="4" width="18.7109375" style="2" customWidth="1"/>
    <col min="5" max="5" width="18.7109375" style="98" customWidth="1"/>
    <col min="6" max="6" width="4.5703125" style="107" customWidth="1"/>
    <col min="7" max="7" width="17.140625" bestFit="1" customWidth="1"/>
    <col min="8" max="8" width="12.28515625" customWidth="1"/>
    <col min="9" max="9" width="10.28515625" customWidth="1"/>
    <col min="10" max="10" width="20" customWidth="1"/>
    <col min="11" max="11" width="19" customWidth="1"/>
    <col min="12" max="12" width="4.28515625" style="171" customWidth="1"/>
    <col min="13" max="13" width="15.28515625" style="170" customWidth="1"/>
    <col min="14" max="14" width="16.28515625" style="170" customWidth="1"/>
    <col min="15" max="16" width="17.140625" style="111" bestFit="1" customWidth="1"/>
    <col min="17" max="17" width="45.5703125" style="118" customWidth="1"/>
    <col min="18" max="19" width="16.140625" style="115" bestFit="1" customWidth="1"/>
    <col min="20" max="20" width="14.28515625" style="115" customWidth="1"/>
    <col min="21" max="21" width="13.28515625" style="117" bestFit="1" customWidth="1"/>
    <col min="22" max="22" width="16.28515625" bestFit="1" customWidth="1"/>
    <col min="23" max="23" width="15" bestFit="1" customWidth="1"/>
    <col min="24" max="24" width="14.28515625" bestFit="1" customWidth="1"/>
    <col min="25" max="25" width="15" bestFit="1" customWidth="1"/>
    <col min="26" max="26" width="14.28515625" bestFit="1" customWidth="1"/>
    <col min="27" max="27" width="4.28515625" style="240" customWidth="1"/>
    <col min="28" max="28" width="46" customWidth="1"/>
    <col min="29" max="29" width="16.140625" bestFit="1" customWidth="1"/>
    <col min="30" max="31" width="12.140625" bestFit="1" customWidth="1"/>
    <col min="32" max="32" width="12.85546875" bestFit="1" customWidth="1"/>
    <col min="33" max="33" width="14.28515625" bestFit="1" customWidth="1"/>
    <col min="34" max="34" width="15" bestFit="1" customWidth="1"/>
    <col min="35" max="35" width="14.28515625" bestFit="1" customWidth="1"/>
    <col min="36" max="36" width="17.42578125" customWidth="1"/>
    <col min="37" max="37" width="14.28515625" bestFit="1" customWidth="1"/>
  </cols>
  <sheetData>
    <row r="1" spans="1:37" s="146" customFormat="1">
      <c r="A1" s="227" t="s">
        <v>0</v>
      </c>
      <c r="B1" s="227"/>
      <c r="C1" s="227"/>
      <c r="D1" s="227"/>
      <c r="E1" s="227"/>
      <c r="G1" s="227" t="s">
        <v>1</v>
      </c>
      <c r="H1" s="227"/>
      <c r="I1" s="227"/>
      <c r="J1" s="227"/>
      <c r="K1" s="227"/>
      <c r="L1" s="171"/>
      <c r="M1" s="261" t="s">
        <v>2</v>
      </c>
      <c r="N1" s="261"/>
      <c r="O1" s="229"/>
      <c r="P1" s="229"/>
      <c r="Q1" s="264"/>
      <c r="R1" s="231" t="s">
        <v>3</v>
      </c>
      <c r="S1" s="232"/>
      <c r="T1" s="232"/>
      <c r="U1" s="232"/>
      <c r="V1" s="232"/>
      <c r="W1" s="232"/>
      <c r="X1" s="232"/>
      <c r="Y1" s="232"/>
      <c r="Z1" s="233"/>
      <c r="AA1" s="240"/>
      <c r="AB1" s="278"/>
      <c r="AC1" s="267" t="s">
        <v>4</v>
      </c>
      <c r="AD1" s="268"/>
      <c r="AE1" s="268"/>
      <c r="AF1" s="268"/>
      <c r="AG1" s="268"/>
      <c r="AH1" s="268"/>
      <c r="AI1" s="268"/>
      <c r="AJ1" s="268"/>
      <c r="AK1" s="269"/>
    </row>
    <row r="2" spans="1:37" s="146" customFormat="1">
      <c r="A2" s="227"/>
      <c r="B2" s="227"/>
      <c r="C2" s="227"/>
      <c r="D2" s="227"/>
      <c r="E2" s="227"/>
      <c r="G2" s="227"/>
      <c r="H2" s="227"/>
      <c r="I2" s="227"/>
      <c r="J2" s="227"/>
      <c r="K2" s="227"/>
      <c r="L2" s="171"/>
      <c r="M2" s="261"/>
      <c r="N2" s="261"/>
      <c r="O2" s="229"/>
      <c r="P2" s="229"/>
      <c r="Q2" s="265"/>
      <c r="R2" s="234"/>
      <c r="S2" s="235"/>
      <c r="T2" s="235"/>
      <c r="U2" s="235"/>
      <c r="V2" s="235"/>
      <c r="W2" s="235"/>
      <c r="X2" s="235"/>
      <c r="Y2" s="235"/>
      <c r="Z2" s="236"/>
      <c r="AA2" s="240"/>
      <c r="AB2" s="279"/>
      <c r="AC2" s="270"/>
      <c r="AD2" s="271"/>
      <c r="AE2" s="271"/>
      <c r="AF2" s="271"/>
      <c r="AG2" s="271"/>
      <c r="AH2" s="271"/>
      <c r="AI2" s="271"/>
      <c r="AJ2" s="271"/>
      <c r="AK2" s="272"/>
    </row>
    <row r="3" spans="1:37" s="79" customFormat="1" ht="26.25" customHeight="1">
      <c r="A3" s="241" t="s">
        <v>5</v>
      </c>
      <c r="B3" s="241"/>
      <c r="C3" s="241"/>
      <c r="D3" s="241"/>
      <c r="E3" s="241"/>
      <c r="G3" s="241" t="s">
        <v>5</v>
      </c>
      <c r="H3" s="241"/>
      <c r="I3" s="241"/>
      <c r="J3" s="241"/>
      <c r="K3" s="241"/>
      <c r="L3" s="171"/>
      <c r="M3" s="172"/>
      <c r="N3" s="172"/>
      <c r="O3" s="229"/>
      <c r="P3" s="229"/>
      <c r="Q3" s="265"/>
      <c r="R3" s="237"/>
      <c r="S3" s="238"/>
      <c r="T3" s="238"/>
      <c r="U3" s="238"/>
      <c r="V3" s="238"/>
      <c r="W3" s="238"/>
      <c r="X3" s="238"/>
      <c r="Y3" s="238"/>
      <c r="Z3" s="239"/>
      <c r="AA3" s="240"/>
      <c r="AB3" s="279"/>
      <c r="AC3" s="273"/>
      <c r="AD3" s="274"/>
      <c r="AE3" s="274"/>
      <c r="AF3" s="274"/>
      <c r="AG3" s="274"/>
      <c r="AH3" s="274"/>
      <c r="AI3" s="274"/>
      <c r="AJ3" s="274"/>
      <c r="AK3" s="275"/>
    </row>
    <row r="4" spans="1:37" ht="75">
      <c r="A4" s="52" t="s">
        <v>6</v>
      </c>
      <c r="B4" s="52" t="s">
        <v>7</v>
      </c>
      <c r="C4" s="52" t="s">
        <v>8</v>
      </c>
      <c r="D4" s="130" t="s">
        <v>9</v>
      </c>
      <c r="E4" s="131" t="s">
        <v>10</v>
      </c>
      <c r="G4" s="52" t="s">
        <v>6</v>
      </c>
      <c r="H4" s="52" t="s">
        <v>7</v>
      </c>
      <c r="I4" s="52" t="s">
        <v>8</v>
      </c>
      <c r="J4" s="130" t="s">
        <v>9</v>
      </c>
      <c r="K4" s="131" t="s">
        <v>10</v>
      </c>
      <c r="M4" s="172" t="s">
        <v>11</v>
      </c>
      <c r="N4" s="172"/>
      <c r="O4" s="229"/>
      <c r="P4" s="229"/>
      <c r="Q4" s="266"/>
      <c r="R4" s="120" t="s">
        <v>12</v>
      </c>
      <c r="S4" s="121" t="s">
        <v>13</v>
      </c>
      <c r="T4" s="122" t="s">
        <v>14</v>
      </c>
      <c r="U4" s="120" t="s">
        <v>15</v>
      </c>
      <c r="V4" s="120" t="s">
        <v>16</v>
      </c>
      <c r="W4" s="120" t="s">
        <v>17</v>
      </c>
      <c r="X4" s="120" t="s">
        <v>18</v>
      </c>
      <c r="Y4" s="120" t="s">
        <v>19</v>
      </c>
      <c r="Z4" s="120" t="s">
        <v>20</v>
      </c>
      <c r="AB4" s="280"/>
      <c r="AC4" s="120" t="s">
        <v>12</v>
      </c>
      <c r="AD4" s="121" t="s">
        <v>13</v>
      </c>
      <c r="AE4" s="122" t="s">
        <v>14</v>
      </c>
      <c r="AF4" s="120" t="s">
        <v>15</v>
      </c>
      <c r="AG4" s="120" t="s">
        <v>16</v>
      </c>
      <c r="AH4" s="120" t="s">
        <v>17</v>
      </c>
      <c r="AI4" s="120" t="s">
        <v>18</v>
      </c>
      <c r="AJ4" s="120" t="s">
        <v>19</v>
      </c>
      <c r="AK4" s="120" t="s">
        <v>20</v>
      </c>
    </row>
    <row r="5" spans="1:37">
      <c r="A5" s="48" t="s">
        <v>21</v>
      </c>
      <c r="B5" s="48">
        <v>1</v>
      </c>
      <c r="C5" s="48">
        <v>3</v>
      </c>
      <c r="D5" s="176">
        <v>2</v>
      </c>
      <c r="E5" s="129">
        <f>(D5/18)</f>
        <v>0.1111111111111111</v>
      </c>
      <c r="G5" s="48" t="s">
        <v>21</v>
      </c>
      <c r="H5" s="48">
        <v>1</v>
      </c>
      <c r="I5" s="48">
        <v>1</v>
      </c>
      <c r="J5" s="176">
        <v>1</v>
      </c>
      <c r="K5" s="129">
        <f>(J5/22)</f>
        <v>4.5454545454545456E-2</v>
      </c>
      <c r="M5" s="172">
        <v>3</v>
      </c>
      <c r="N5" s="172"/>
      <c r="O5" s="112"/>
      <c r="P5" s="112"/>
      <c r="Q5" s="123" t="s">
        <v>22</v>
      </c>
      <c r="R5" s="124">
        <v>782</v>
      </c>
      <c r="S5" s="125">
        <v>782</v>
      </c>
      <c r="T5" s="126">
        <v>782</v>
      </c>
      <c r="U5" s="152">
        <v>782</v>
      </c>
      <c r="V5" s="176">
        <v>782</v>
      </c>
      <c r="W5" s="176">
        <v>782</v>
      </c>
      <c r="X5" s="176">
        <v>782</v>
      </c>
      <c r="Y5" s="176">
        <v>782</v>
      </c>
      <c r="Z5" s="176">
        <v>782</v>
      </c>
      <c r="AB5" s="123" t="s">
        <v>22</v>
      </c>
      <c r="AC5" s="156">
        <v>725</v>
      </c>
      <c r="AD5" s="156">
        <v>725</v>
      </c>
      <c r="AE5" s="156">
        <v>725</v>
      </c>
      <c r="AF5" s="156">
        <v>725</v>
      </c>
      <c r="AG5" s="156">
        <v>725</v>
      </c>
      <c r="AH5" s="156">
        <v>725</v>
      </c>
      <c r="AI5" s="156">
        <v>725</v>
      </c>
      <c r="AJ5" s="156">
        <v>725</v>
      </c>
      <c r="AK5" s="156">
        <v>725</v>
      </c>
    </row>
    <row r="6" spans="1:37">
      <c r="A6" s="48" t="s">
        <v>23</v>
      </c>
      <c r="B6" s="48">
        <v>1</v>
      </c>
      <c r="C6" s="48">
        <v>3</v>
      </c>
      <c r="D6" s="176">
        <v>2</v>
      </c>
      <c r="E6" s="129">
        <f>(D6/18)</f>
        <v>0.1111111111111111</v>
      </c>
      <c r="G6" s="48" t="s">
        <v>23</v>
      </c>
      <c r="H6" s="48">
        <v>0</v>
      </c>
      <c r="I6" s="48">
        <v>1</v>
      </c>
      <c r="J6" s="176">
        <v>1</v>
      </c>
      <c r="K6" s="129">
        <f>(J6/22)</f>
        <v>4.5454545454545456E-2</v>
      </c>
      <c r="M6" s="172">
        <v>3</v>
      </c>
      <c r="N6" s="172"/>
      <c r="O6" s="112"/>
      <c r="P6" s="112"/>
      <c r="Q6" s="123" t="s">
        <v>24</v>
      </c>
      <c r="R6" s="127">
        <v>0.08</v>
      </c>
      <c r="S6" s="127">
        <v>0.25800000000000001</v>
      </c>
      <c r="T6" s="127">
        <v>8.1000000000000003E-2</v>
      </c>
      <c r="U6" s="127">
        <v>0.29299999999999998</v>
      </c>
      <c r="V6" s="127">
        <v>0.10299999999999999</v>
      </c>
      <c r="W6" s="127">
        <v>0.28000000000000003</v>
      </c>
      <c r="X6" s="127">
        <v>0.38</v>
      </c>
      <c r="Y6" s="127">
        <v>0.16700000000000001</v>
      </c>
      <c r="Z6" s="127">
        <v>1</v>
      </c>
      <c r="AB6" s="123" t="s">
        <v>24</v>
      </c>
      <c r="AC6" s="157">
        <f t="shared" ref="AC6:AK7" si="0">R6</f>
        <v>0.08</v>
      </c>
      <c r="AD6" s="157">
        <f t="shared" si="0"/>
        <v>0.25800000000000001</v>
      </c>
      <c r="AE6" s="157">
        <f t="shared" si="0"/>
        <v>8.1000000000000003E-2</v>
      </c>
      <c r="AF6" s="157">
        <f t="shared" si="0"/>
        <v>0.29299999999999998</v>
      </c>
      <c r="AG6" s="157">
        <f t="shared" si="0"/>
        <v>0.10299999999999999</v>
      </c>
      <c r="AH6" s="157">
        <f t="shared" si="0"/>
        <v>0.28000000000000003</v>
      </c>
      <c r="AI6" s="157">
        <f t="shared" si="0"/>
        <v>0.38</v>
      </c>
      <c r="AJ6" s="157">
        <f t="shared" si="0"/>
        <v>0.16700000000000001</v>
      </c>
      <c r="AK6" s="157">
        <f t="shared" si="0"/>
        <v>1</v>
      </c>
    </row>
    <row r="7" spans="1:37">
      <c r="A7" s="48" t="s">
        <v>25</v>
      </c>
      <c r="B7" s="48">
        <v>0</v>
      </c>
      <c r="C7" s="48">
        <v>4</v>
      </c>
      <c r="D7" s="176">
        <v>4</v>
      </c>
      <c r="E7" s="129">
        <f>(D7/18)</f>
        <v>0.22222222222222221</v>
      </c>
      <c r="G7" s="48" t="s">
        <v>25</v>
      </c>
      <c r="H7" s="48">
        <v>1</v>
      </c>
      <c r="I7" s="48">
        <v>1</v>
      </c>
      <c r="J7" s="176">
        <v>1</v>
      </c>
      <c r="K7" s="129">
        <f>(J7/22)</f>
        <v>4.5454545454545456E-2</v>
      </c>
      <c r="M7" s="172">
        <v>5</v>
      </c>
      <c r="N7" s="172"/>
      <c r="O7" s="112"/>
      <c r="P7" s="112"/>
      <c r="Q7" s="123" t="s">
        <v>26</v>
      </c>
      <c r="R7" s="128">
        <v>0.8</v>
      </c>
      <c r="S7" s="128">
        <v>0.5</v>
      </c>
      <c r="T7" s="128">
        <v>0.49</v>
      </c>
      <c r="U7" s="128">
        <v>0.45</v>
      </c>
      <c r="V7" s="128">
        <v>0.15</v>
      </c>
      <c r="W7" s="128">
        <v>0.45</v>
      </c>
      <c r="X7" s="128">
        <v>0.5</v>
      </c>
      <c r="Y7" s="128">
        <v>1</v>
      </c>
      <c r="Z7" s="128">
        <v>0.22</v>
      </c>
      <c r="AB7" s="123" t="s">
        <v>26</v>
      </c>
      <c r="AC7" s="157">
        <f t="shared" si="0"/>
        <v>0.8</v>
      </c>
      <c r="AD7" s="157">
        <f t="shared" si="0"/>
        <v>0.5</v>
      </c>
      <c r="AE7" s="157">
        <f t="shared" si="0"/>
        <v>0.49</v>
      </c>
      <c r="AF7" s="157">
        <f t="shared" si="0"/>
        <v>0.45</v>
      </c>
      <c r="AG7" s="157">
        <f t="shared" si="0"/>
        <v>0.15</v>
      </c>
      <c r="AH7" s="157">
        <f t="shared" si="0"/>
        <v>0.45</v>
      </c>
      <c r="AI7" s="157">
        <f t="shared" si="0"/>
        <v>0.5</v>
      </c>
      <c r="AJ7" s="157">
        <f t="shared" si="0"/>
        <v>1</v>
      </c>
      <c r="AK7" s="157">
        <f t="shared" si="0"/>
        <v>0.22</v>
      </c>
    </row>
    <row r="8" spans="1:37" ht="30">
      <c r="A8" s="48" t="s">
        <v>15</v>
      </c>
      <c r="B8" s="48">
        <v>0</v>
      </c>
      <c r="C8" s="48">
        <v>4</v>
      </c>
      <c r="D8" s="176">
        <v>4</v>
      </c>
      <c r="E8" s="129">
        <f>(D8/18)</f>
        <v>0.22222222222222221</v>
      </c>
      <c r="G8" s="48" t="s">
        <v>15</v>
      </c>
      <c r="H8" s="48">
        <v>1</v>
      </c>
      <c r="I8" s="48">
        <v>1</v>
      </c>
      <c r="J8" s="176">
        <v>1</v>
      </c>
      <c r="K8" s="129">
        <f>(J8/22)</f>
        <v>4.5454545454545456E-2</v>
      </c>
      <c r="M8" s="172">
        <v>5</v>
      </c>
      <c r="N8" s="172"/>
      <c r="O8" s="112"/>
      <c r="P8" s="112"/>
      <c r="Q8" s="123" t="s">
        <v>27</v>
      </c>
      <c r="R8" s="129">
        <f>E5</f>
        <v>0.1111111111111111</v>
      </c>
      <c r="S8" s="129">
        <f>E6</f>
        <v>0.1111111111111111</v>
      </c>
      <c r="T8" s="129">
        <f>E7</f>
        <v>0.22222222222222221</v>
      </c>
      <c r="U8" s="129">
        <f>E8</f>
        <v>0.22222222222222221</v>
      </c>
      <c r="V8" s="153"/>
      <c r="W8" s="153">
        <f>E13</f>
        <v>0.1111111111111111</v>
      </c>
      <c r="X8" s="153">
        <f>E14</f>
        <v>5.5555555555555552E-2</v>
      </c>
      <c r="Y8" s="153">
        <f>E15</f>
        <v>0.1111111111111111</v>
      </c>
      <c r="Z8" s="153">
        <f>E17</f>
        <v>0.27777777777777779</v>
      </c>
      <c r="AB8" s="123" t="s">
        <v>27</v>
      </c>
      <c r="AC8" s="158">
        <f>K5</f>
        <v>4.5454545454545456E-2</v>
      </c>
      <c r="AD8" s="158">
        <f>K6</f>
        <v>4.5454545454545456E-2</v>
      </c>
      <c r="AE8" s="158">
        <f>K7</f>
        <v>4.5454545454545456E-2</v>
      </c>
      <c r="AF8" s="158">
        <f>K8</f>
        <v>4.5454545454545456E-2</v>
      </c>
      <c r="AG8" s="158">
        <f>K12</f>
        <v>9.0909090909090912E-2</v>
      </c>
      <c r="AH8" s="158">
        <f>K13</f>
        <v>0.13636363636363635</v>
      </c>
      <c r="AI8" s="158">
        <f>K14</f>
        <v>4.5454545454545456E-2</v>
      </c>
      <c r="AJ8" s="158">
        <v>0.1111</v>
      </c>
      <c r="AK8" s="158">
        <f>K17</f>
        <v>0.27272727272727271</v>
      </c>
    </row>
    <row r="9" spans="1:37" ht="30">
      <c r="A9" s="242" t="s">
        <v>28</v>
      </c>
      <c r="B9" s="242"/>
      <c r="C9" s="242"/>
      <c r="D9" s="242"/>
      <c r="E9" s="242"/>
      <c r="G9" s="242" t="s">
        <v>28</v>
      </c>
      <c r="H9" s="242"/>
      <c r="I9" s="242"/>
      <c r="J9" s="242"/>
      <c r="K9" s="242"/>
      <c r="M9" s="172"/>
      <c r="N9" s="172"/>
      <c r="Q9" s="123" t="s">
        <v>29</v>
      </c>
      <c r="R9" s="164">
        <f t="shared" ref="R9:Z9" si="1">R5*R6*R7*R8</f>
        <v>5.560888888888889</v>
      </c>
      <c r="S9" s="164">
        <f t="shared" si="1"/>
        <v>11.208666666666666</v>
      </c>
      <c r="T9" s="165">
        <f t="shared" si="1"/>
        <v>6.8972399999999991</v>
      </c>
      <c r="U9" s="166">
        <f t="shared" si="1"/>
        <v>22.912599999999998</v>
      </c>
      <c r="V9" s="164">
        <f t="shared" si="1"/>
        <v>0</v>
      </c>
      <c r="W9" s="164">
        <f t="shared" si="1"/>
        <v>10.948</v>
      </c>
      <c r="X9" s="164">
        <f t="shared" si="1"/>
        <v>8.2544444444444451</v>
      </c>
      <c r="Y9" s="164">
        <f t="shared" si="1"/>
        <v>14.510444444444444</v>
      </c>
      <c r="Z9" s="164">
        <f t="shared" si="1"/>
        <v>47.788888888888891</v>
      </c>
      <c r="AB9" s="123" t="s">
        <v>29</v>
      </c>
      <c r="AC9" s="167">
        <f t="shared" ref="AC9:AK9" si="2">AC5*AC6*AC7*AC8</f>
        <v>2.1090909090909093</v>
      </c>
      <c r="AD9" s="167">
        <f t="shared" si="2"/>
        <v>4.2511363636363644</v>
      </c>
      <c r="AE9" s="168">
        <f t="shared" si="2"/>
        <v>1.307965909090909</v>
      </c>
      <c r="AF9" s="169">
        <f t="shared" si="2"/>
        <v>4.3450568181818179</v>
      </c>
      <c r="AG9" s="167">
        <f t="shared" si="2"/>
        <v>1.0182954545454546</v>
      </c>
      <c r="AH9" s="167">
        <f t="shared" si="2"/>
        <v>12.456818181818182</v>
      </c>
      <c r="AI9" s="167">
        <f t="shared" si="2"/>
        <v>6.2613636363636367</v>
      </c>
      <c r="AJ9" s="167">
        <f t="shared" si="2"/>
        <v>13.451432500000001</v>
      </c>
      <c r="AK9" s="167">
        <f t="shared" si="2"/>
        <v>43.5</v>
      </c>
    </row>
    <row r="10" spans="1:37">
      <c r="A10" s="242"/>
      <c r="B10" s="242"/>
      <c r="C10" s="242"/>
      <c r="D10" s="242"/>
      <c r="E10" s="242"/>
      <c r="G10" s="242"/>
      <c r="H10" s="242"/>
      <c r="I10" s="242"/>
      <c r="J10" s="242"/>
      <c r="K10" s="242"/>
      <c r="M10" s="172"/>
      <c r="N10" s="172"/>
      <c r="Q10" s="123" t="s">
        <v>30</v>
      </c>
      <c r="R10" s="154">
        <f>'Colorectal Benefit'!$F$16</f>
        <v>17293.082565880046</v>
      </c>
      <c r="S10" s="154">
        <f>'Heart Disease Benefit'!$G$16</f>
        <v>5775.2181929014514</v>
      </c>
      <c r="T10" s="154">
        <f>'Stroke Benefits'!$G$18</f>
        <v>26003.011937672796</v>
      </c>
      <c r="U10" s="154">
        <f>'Hypertension Benefit'!$G$29</f>
        <v>1700.9371327253966</v>
      </c>
      <c r="V10" s="154">
        <f>osteoporosis!$C$35</f>
        <v>85670.525065513924</v>
      </c>
      <c r="W10" s="154">
        <f>'Type 2 Diabeties'!$C$31</f>
        <v>50777.185201500433</v>
      </c>
      <c r="X10" s="154">
        <f>Obesity!$C$45</f>
        <v>30080.075037511851</v>
      </c>
      <c r="Y10" s="154">
        <f>'Foodborne illness'!$C$47</f>
        <v>31322.097401202354</v>
      </c>
      <c r="Z10" s="154">
        <f>'Data &amp; PV'!$G$12</f>
        <v>2539.229198</v>
      </c>
      <c r="AB10" s="123" t="s">
        <v>30</v>
      </c>
      <c r="AC10" s="159">
        <f t="shared" ref="AC10:AK10" si="3">R10</f>
        <v>17293.082565880046</v>
      </c>
      <c r="AD10" s="159">
        <f t="shared" si="3"/>
        <v>5775.2181929014514</v>
      </c>
      <c r="AE10" s="159">
        <f t="shared" si="3"/>
        <v>26003.011937672796</v>
      </c>
      <c r="AF10" s="159">
        <f t="shared" si="3"/>
        <v>1700.9371327253966</v>
      </c>
      <c r="AG10" s="159">
        <f t="shared" si="3"/>
        <v>85670.525065513924</v>
      </c>
      <c r="AH10" s="159">
        <f t="shared" si="3"/>
        <v>50777.185201500433</v>
      </c>
      <c r="AI10" s="159">
        <f t="shared" si="3"/>
        <v>30080.075037511851</v>
      </c>
      <c r="AJ10" s="159">
        <f t="shared" si="3"/>
        <v>31322.097401202354</v>
      </c>
      <c r="AK10" s="159">
        <f t="shared" si="3"/>
        <v>2539.229198</v>
      </c>
    </row>
    <row r="11" spans="1:37">
      <c r="A11" s="242"/>
      <c r="B11" s="242"/>
      <c r="C11" s="242"/>
      <c r="D11" s="242"/>
      <c r="E11" s="242"/>
      <c r="G11" s="242"/>
      <c r="H11" s="242"/>
      <c r="I11" s="242"/>
      <c r="J11" s="242"/>
      <c r="K11" s="242"/>
      <c r="M11" s="172"/>
      <c r="N11" s="172"/>
      <c r="Q11" s="282" t="s">
        <v>31</v>
      </c>
      <c r="R11" s="243">
        <f t="shared" ref="R11:Z11" si="4">R9*R10</f>
        <v>96164.910695240513</v>
      </c>
      <c r="S11" s="243">
        <f t="shared" si="4"/>
        <v>64732.495651501398</v>
      </c>
      <c r="T11" s="245">
        <f t="shared" si="4"/>
        <v>179349.01405699429</v>
      </c>
      <c r="U11" s="247">
        <f t="shared" si="4"/>
        <v>38972.892147283921</v>
      </c>
      <c r="V11" s="243">
        <f t="shared" si="4"/>
        <v>0</v>
      </c>
      <c r="W11" s="243">
        <f t="shared" si="4"/>
        <v>555908.62358602672</v>
      </c>
      <c r="X11" s="243">
        <f t="shared" si="4"/>
        <v>248294.30828186174</v>
      </c>
      <c r="Y11" s="243">
        <f t="shared" si="4"/>
        <v>454497.55422362447</v>
      </c>
      <c r="Z11" s="243">
        <f t="shared" si="4"/>
        <v>121346.94200664444</v>
      </c>
      <c r="AB11" s="281" t="s">
        <v>31</v>
      </c>
      <c r="AC11" s="276">
        <f t="shared" ref="AC11:AK11" si="5">AC9*AC10</f>
        <v>36472.683229856098</v>
      </c>
      <c r="AD11" s="276">
        <f t="shared" si="5"/>
        <v>24551.240067777653</v>
      </c>
      <c r="AE11" s="276">
        <f t="shared" si="5"/>
        <v>34011.053148159961</v>
      </c>
      <c r="AF11" s="276">
        <f t="shared" si="5"/>
        <v>7390.6684858471162</v>
      </c>
      <c r="AG11" s="276">
        <f t="shared" si="5"/>
        <v>87237.906262735254</v>
      </c>
      <c r="AH11" s="276">
        <f t="shared" si="5"/>
        <v>632522.1638395997</v>
      </c>
      <c r="AI11" s="276">
        <f t="shared" si="5"/>
        <v>188342.28801896627</v>
      </c>
      <c r="AJ11" s="276">
        <f t="shared" si="5"/>
        <v>421327.07895069889</v>
      </c>
      <c r="AK11" s="276">
        <f t="shared" si="5"/>
        <v>110456.470113</v>
      </c>
    </row>
    <row r="12" spans="1:37">
      <c r="A12" s="48" t="s">
        <v>16</v>
      </c>
      <c r="B12" s="48">
        <v>2</v>
      </c>
      <c r="C12" s="48">
        <v>0</v>
      </c>
      <c r="D12" s="176">
        <v>0</v>
      </c>
      <c r="E12" s="129">
        <f>(D12/18)</f>
        <v>0</v>
      </c>
      <c r="G12" s="48" t="s">
        <v>16</v>
      </c>
      <c r="H12" s="48">
        <v>1</v>
      </c>
      <c r="I12" s="48">
        <v>2</v>
      </c>
      <c r="J12" s="176">
        <v>2</v>
      </c>
      <c r="K12" s="129">
        <f>(J12/22)</f>
        <v>9.0909090909090912E-2</v>
      </c>
      <c r="M12" s="172">
        <v>2</v>
      </c>
      <c r="N12" s="172"/>
      <c r="O12" s="112"/>
      <c r="P12" s="112"/>
      <c r="Q12" s="282"/>
      <c r="R12" s="244"/>
      <c r="S12" s="244"/>
      <c r="T12" s="246"/>
      <c r="U12" s="248"/>
      <c r="V12" s="242"/>
      <c r="W12" s="242"/>
      <c r="X12" s="242"/>
      <c r="Y12" s="242"/>
      <c r="Z12" s="242"/>
      <c r="AB12" s="281"/>
      <c r="AC12" s="277"/>
      <c r="AD12" s="277"/>
      <c r="AE12" s="277"/>
      <c r="AF12" s="277"/>
      <c r="AG12" s="277"/>
      <c r="AH12" s="277"/>
      <c r="AI12" s="277"/>
      <c r="AJ12" s="277"/>
      <c r="AK12" s="277"/>
    </row>
    <row r="13" spans="1:37" s="135" customFormat="1">
      <c r="A13" s="48" t="s">
        <v>32</v>
      </c>
      <c r="B13" s="48">
        <v>2</v>
      </c>
      <c r="C13" s="48">
        <v>2</v>
      </c>
      <c r="D13" s="132">
        <v>2</v>
      </c>
      <c r="E13" s="133">
        <f>(D13/18)</f>
        <v>0.1111111111111111</v>
      </c>
      <c r="F13" s="134"/>
      <c r="G13" s="48" t="s">
        <v>32</v>
      </c>
      <c r="H13" s="48">
        <v>0</v>
      </c>
      <c r="I13" s="48">
        <v>3</v>
      </c>
      <c r="J13" s="132">
        <v>3</v>
      </c>
      <c r="K13" s="133">
        <f>(J13/22)</f>
        <v>0.13636363636363635</v>
      </c>
      <c r="L13" s="171"/>
      <c r="M13" s="172">
        <v>5</v>
      </c>
      <c r="N13" s="172"/>
      <c r="O13" s="112"/>
      <c r="P13" s="112"/>
      <c r="Q13" s="136" t="s">
        <v>33</v>
      </c>
      <c r="R13" s="155">
        <f>SUM(R11:Z12)</f>
        <v>1759266.7406491777</v>
      </c>
      <c r="S13" s="155"/>
      <c r="T13" s="155"/>
      <c r="U13" s="155"/>
      <c r="V13" s="155"/>
      <c r="W13" s="155"/>
      <c r="X13" s="155"/>
      <c r="Y13" s="155"/>
      <c r="Z13" s="174"/>
      <c r="AA13" s="240"/>
      <c r="AB13" s="119" t="s">
        <v>33</v>
      </c>
      <c r="AC13" s="160">
        <f>SUM(AC11:AK12)</f>
        <v>1542311.5521166408</v>
      </c>
      <c r="AD13" s="160"/>
      <c r="AE13" s="160"/>
      <c r="AF13" s="160"/>
      <c r="AG13" s="160"/>
      <c r="AH13" s="160"/>
      <c r="AI13" s="160"/>
      <c r="AJ13" s="160"/>
      <c r="AK13" s="160"/>
    </row>
    <row r="14" spans="1:37">
      <c r="A14" s="48" t="s">
        <v>18</v>
      </c>
      <c r="B14" s="48">
        <v>1</v>
      </c>
      <c r="C14" s="48">
        <v>1</v>
      </c>
      <c r="D14" s="176">
        <v>1</v>
      </c>
      <c r="E14" s="129">
        <f>(D14/18)</f>
        <v>5.5555555555555552E-2</v>
      </c>
      <c r="G14" s="48" t="s">
        <v>18</v>
      </c>
      <c r="H14" s="48">
        <v>0</v>
      </c>
      <c r="I14" s="48">
        <v>1</v>
      </c>
      <c r="J14" s="176">
        <v>1</v>
      </c>
      <c r="K14" s="129">
        <f>(J14/22)</f>
        <v>4.5454545454545456E-2</v>
      </c>
      <c r="M14" s="172">
        <v>2</v>
      </c>
      <c r="N14" s="172"/>
      <c r="O14" s="112"/>
      <c r="P14" s="112"/>
      <c r="Q14" s="116"/>
      <c r="R14" s="112"/>
      <c r="S14" s="113"/>
      <c r="T14" s="114"/>
      <c r="U14" s="111"/>
    </row>
    <row r="15" spans="1:37">
      <c r="A15" s="48" t="s">
        <v>34</v>
      </c>
      <c r="B15" s="48">
        <v>4</v>
      </c>
      <c r="C15" s="48">
        <v>4</v>
      </c>
      <c r="D15" s="176">
        <v>2</v>
      </c>
      <c r="E15" s="129">
        <f>(D15/18)</f>
        <v>0.1111111111111111</v>
      </c>
      <c r="G15" s="48" t="s">
        <v>34</v>
      </c>
      <c r="H15" s="48">
        <v>7</v>
      </c>
      <c r="I15" s="48">
        <v>4</v>
      </c>
      <c r="J15" s="176">
        <v>8</v>
      </c>
      <c r="K15" s="129">
        <f>(J15/22)</f>
        <v>0.36363636363636365</v>
      </c>
      <c r="M15" s="172">
        <v>10</v>
      </c>
      <c r="N15" s="172"/>
      <c r="O15" s="112"/>
      <c r="P15" s="112"/>
      <c r="Q15" s="116"/>
      <c r="R15" s="112"/>
      <c r="S15" s="113"/>
      <c r="T15" s="114"/>
      <c r="U15" s="111"/>
      <c r="V15" s="79"/>
    </row>
    <row r="16" spans="1:37" ht="22.5" customHeight="1">
      <c r="A16" s="249" t="s">
        <v>35</v>
      </c>
      <c r="B16" s="249"/>
      <c r="C16" s="249"/>
      <c r="D16" s="249"/>
      <c r="E16" s="249"/>
      <c r="G16" s="249" t="s">
        <v>35</v>
      </c>
      <c r="H16" s="249"/>
      <c r="I16" s="249"/>
      <c r="J16" s="249"/>
      <c r="K16" s="249"/>
      <c r="M16" s="172"/>
      <c r="N16" s="172"/>
      <c r="Q16" s="264"/>
      <c r="R16" s="231" t="s">
        <v>3</v>
      </c>
      <c r="S16" s="232"/>
      <c r="T16" s="232"/>
      <c r="U16" s="232"/>
      <c r="V16" s="232"/>
      <c r="W16" s="232"/>
      <c r="X16" s="232"/>
      <c r="Y16" s="232"/>
      <c r="Z16" s="233"/>
      <c r="AB16" s="278"/>
      <c r="AC16" s="267" t="s">
        <v>4</v>
      </c>
      <c r="AD16" s="268"/>
      <c r="AE16" s="268"/>
      <c r="AF16" s="268"/>
      <c r="AG16" s="268"/>
      <c r="AH16" s="268"/>
      <c r="AI16" s="268"/>
      <c r="AJ16" s="268"/>
      <c r="AK16" s="269"/>
    </row>
    <row r="17" spans="1:37" ht="15" customHeight="1">
      <c r="A17" s="48" t="s">
        <v>20</v>
      </c>
      <c r="B17" s="48">
        <v>12</v>
      </c>
      <c r="C17" s="48">
        <v>17</v>
      </c>
      <c r="D17" s="176">
        <v>5</v>
      </c>
      <c r="E17" s="129">
        <f>(D17/18)</f>
        <v>0.27777777777777779</v>
      </c>
      <c r="G17" s="48" t="s">
        <v>20</v>
      </c>
      <c r="H17" s="48">
        <v>15</v>
      </c>
      <c r="I17" s="48">
        <v>17</v>
      </c>
      <c r="J17" s="176">
        <v>6</v>
      </c>
      <c r="K17" s="129">
        <f>(J17/22)</f>
        <v>0.27272727272727271</v>
      </c>
      <c r="M17" s="172">
        <v>11</v>
      </c>
      <c r="N17" s="172"/>
      <c r="O17" s="112"/>
      <c r="P17" s="112"/>
      <c r="Q17" s="265"/>
      <c r="R17" s="234"/>
      <c r="S17" s="235"/>
      <c r="T17" s="235"/>
      <c r="U17" s="235"/>
      <c r="V17" s="235"/>
      <c r="W17" s="235"/>
      <c r="X17" s="235"/>
      <c r="Y17" s="235"/>
      <c r="Z17" s="236"/>
      <c r="AB17" s="279"/>
      <c r="AC17" s="270"/>
      <c r="AD17" s="271"/>
      <c r="AE17" s="271"/>
      <c r="AF17" s="271"/>
      <c r="AG17" s="271"/>
      <c r="AH17" s="271"/>
      <c r="AI17" s="271"/>
      <c r="AJ17" s="271"/>
      <c r="AK17" s="272"/>
    </row>
    <row r="18" spans="1:37" s="79" customFormat="1" ht="15" customHeight="1">
      <c r="A18" s="173"/>
      <c r="B18" s="173"/>
      <c r="C18" s="262"/>
      <c r="D18" s="250" t="s">
        <v>36</v>
      </c>
      <c r="E18" s="253" t="s">
        <v>37</v>
      </c>
      <c r="J18" s="250" t="s">
        <v>38</v>
      </c>
      <c r="K18" s="253" t="s">
        <v>37</v>
      </c>
      <c r="L18" s="171"/>
      <c r="M18" s="172"/>
      <c r="N18" s="172"/>
      <c r="O18" s="111"/>
      <c r="P18" s="111"/>
      <c r="Q18" s="265"/>
      <c r="R18" s="237"/>
      <c r="S18" s="238"/>
      <c r="T18" s="238"/>
      <c r="U18" s="238"/>
      <c r="V18" s="238"/>
      <c r="W18" s="238"/>
      <c r="X18" s="238"/>
      <c r="Y18" s="238"/>
      <c r="Z18" s="239"/>
      <c r="AA18" s="240"/>
      <c r="AB18" s="279"/>
      <c r="AC18" s="273"/>
      <c r="AD18" s="274"/>
      <c r="AE18" s="274"/>
      <c r="AF18" s="274"/>
      <c r="AG18" s="274"/>
      <c r="AH18" s="274"/>
      <c r="AI18" s="274"/>
      <c r="AJ18" s="274"/>
      <c r="AK18" s="275"/>
    </row>
    <row r="19" spans="1:37" s="79" customFormat="1" ht="30" customHeight="1">
      <c r="C19" s="263"/>
      <c r="D19" s="251"/>
      <c r="E19" s="254"/>
      <c r="J19" s="251"/>
      <c r="K19" s="254"/>
      <c r="L19" s="171"/>
      <c r="M19" s="172"/>
      <c r="N19" s="172"/>
      <c r="O19" s="111"/>
      <c r="P19" s="111"/>
      <c r="Q19" s="266"/>
      <c r="R19" s="120" t="s">
        <v>12</v>
      </c>
      <c r="S19" s="121" t="s">
        <v>13</v>
      </c>
      <c r="T19" s="122" t="s">
        <v>14</v>
      </c>
      <c r="U19" s="120" t="s">
        <v>15</v>
      </c>
      <c r="V19" s="120" t="s">
        <v>16</v>
      </c>
      <c r="W19" s="120" t="s">
        <v>17</v>
      </c>
      <c r="X19" s="120" t="s">
        <v>18</v>
      </c>
      <c r="Y19" s="120" t="s">
        <v>19</v>
      </c>
      <c r="Z19" s="120" t="s">
        <v>20</v>
      </c>
      <c r="AA19" s="240"/>
      <c r="AB19" s="280"/>
      <c r="AC19" s="120" t="s">
        <v>12</v>
      </c>
      <c r="AD19" s="121" t="s">
        <v>13</v>
      </c>
      <c r="AE19" s="122" t="s">
        <v>14</v>
      </c>
      <c r="AF19" s="120" t="s">
        <v>15</v>
      </c>
      <c r="AG19" s="120" t="s">
        <v>16</v>
      </c>
      <c r="AH19" s="120" t="s">
        <v>17</v>
      </c>
      <c r="AI19" s="120" t="s">
        <v>18</v>
      </c>
      <c r="AJ19" s="120" t="s">
        <v>19</v>
      </c>
      <c r="AK19" s="120" t="s">
        <v>20</v>
      </c>
    </row>
    <row r="20" spans="1:37" s="79" customFormat="1" ht="30" customHeight="1">
      <c r="C20" s="263"/>
      <c r="D20" s="251"/>
      <c r="E20" s="254"/>
      <c r="J20" s="251"/>
      <c r="K20" s="254"/>
      <c r="L20" s="171"/>
      <c r="M20" s="172"/>
      <c r="N20" s="172"/>
      <c r="O20" s="111"/>
      <c r="P20" s="111"/>
      <c r="Q20" s="123" t="s">
        <v>22</v>
      </c>
      <c r="R20" s="124">
        <v>782</v>
      </c>
      <c r="S20" s="125">
        <v>782</v>
      </c>
      <c r="T20" s="126">
        <v>782</v>
      </c>
      <c r="U20" s="152">
        <v>782</v>
      </c>
      <c r="V20" s="176">
        <v>782</v>
      </c>
      <c r="W20" s="176">
        <v>782</v>
      </c>
      <c r="X20" s="176">
        <v>782</v>
      </c>
      <c r="Y20" s="176">
        <v>782</v>
      </c>
      <c r="Z20" s="176">
        <v>782</v>
      </c>
      <c r="AA20" s="240"/>
      <c r="AB20" s="123" t="s">
        <v>22</v>
      </c>
      <c r="AC20" s="156">
        <f t="shared" ref="AC20:AK20" si="6">AC5</f>
        <v>725</v>
      </c>
      <c r="AD20" s="156">
        <f t="shared" si="6"/>
        <v>725</v>
      </c>
      <c r="AE20" s="156">
        <f t="shared" si="6"/>
        <v>725</v>
      </c>
      <c r="AF20" s="156">
        <f t="shared" si="6"/>
        <v>725</v>
      </c>
      <c r="AG20" s="156">
        <f t="shared" si="6"/>
        <v>725</v>
      </c>
      <c r="AH20" s="156">
        <f t="shared" si="6"/>
        <v>725</v>
      </c>
      <c r="AI20" s="156">
        <f t="shared" si="6"/>
        <v>725</v>
      </c>
      <c r="AJ20" s="156">
        <f t="shared" si="6"/>
        <v>725</v>
      </c>
      <c r="AK20" s="156">
        <f t="shared" si="6"/>
        <v>725</v>
      </c>
    </row>
    <row r="21" spans="1:37" s="79" customFormat="1" ht="30" customHeight="1">
      <c r="C21" s="263"/>
      <c r="D21" s="251"/>
      <c r="E21" s="254"/>
      <c r="J21" s="251"/>
      <c r="K21" s="254"/>
      <c r="L21" s="171"/>
      <c r="M21" s="172"/>
      <c r="N21" s="172"/>
      <c r="O21" s="111"/>
      <c r="P21" s="111"/>
      <c r="Q21" s="123" t="s">
        <v>24</v>
      </c>
      <c r="R21" s="127">
        <v>0.08</v>
      </c>
      <c r="S21" s="127">
        <v>0.25800000000000001</v>
      </c>
      <c r="T21" s="127">
        <v>8.1000000000000003E-2</v>
      </c>
      <c r="U21" s="127">
        <v>0.29299999999999998</v>
      </c>
      <c r="V21" s="127">
        <v>0.10299999999999999</v>
      </c>
      <c r="W21" s="127">
        <v>0.28000000000000003</v>
      </c>
      <c r="X21" s="127">
        <v>0.38</v>
      </c>
      <c r="Y21" s="127">
        <v>0.16700000000000001</v>
      </c>
      <c r="Z21" s="127">
        <v>1</v>
      </c>
      <c r="AA21" s="240"/>
      <c r="AB21" s="123" t="s">
        <v>24</v>
      </c>
      <c r="AC21" s="157">
        <f t="shared" ref="AC21:AK21" si="7">AC6</f>
        <v>0.08</v>
      </c>
      <c r="AD21" s="157">
        <f t="shared" si="7"/>
        <v>0.25800000000000001</v>
      </c>
      <c r="AE21" s="157">
        <f t="shared" si="7"/>
        <v>8.1000000000000003E-2</v>
      </c>
      <c r="AF21" s="157">
        <f t="shared" si="7"/>
        <v>0.29299999999999998</v>
      </c>
      <c r="AG21" s="157">
        <f t="shared" si="7"/>
        <v>0.10299999999999999</v>
      </c>
      <c r="AH21" s="157">
        <f t="shared" si="7"/>
        <v>0.28000000000000003</v>
      </c>
      <c r="AI21" s="157">
        <f t="shared" si="7"/>
        <v>0.38</v>
      </c>
      <c r="AJ21" s="157">
        <f t="shared" si="7"/>
        <v>0.16700000000000001</v>
      </c>
      <c r="AK21" s="157">
        <f t="shared" si="7"/>
        <v>1</v>
      </c>
    </row>
    <row r="22" spans="1:37" s="79" customFormat="1" ht="30" customHeight="1">
      <c r="C22" s="263"/>
      <c r="D22" s="251"/>
      <c r="E22" s="254"/>
      <c r="J22" s="251"/>
      <c r="K22" s="254"/>
      <c r="L22" s="171"/>
      <c r="M22" s="172"/>
      <c r="N22" s="172"/>
      <c r="O22" s="111"/>
      <c r="P22" s="111"/>
      <c r="Q22" s="123" t="s">
        <v>26</v>
      </c>
      <c r="R22" s="128">
        <v>0.8</v>
      </c>
      <c r="S22" s="128">
        <v>0.5</v>
      </c>
      <c r="T22" s="128">
        <v>0.49</v>
      </c>
      <c r="U22" s="128">
        <v>0.45</v>
      </c>
      <c r="V22" s="128">
        <v>0.15</v>
      </c>
      <c r="W22" s="128">
        <v>0.45</v>
      </c>
      <c r="X22" s="128">
        <v>0.5</v>
      </c>
      <c r="Y22" s="128">
        <v>1</v>
      </c>
      <c r="Z22" s="128">
        <v>0.22</v>
      </c>
      <c r="AA22" s="240"/>
      <c r="AB22" s="123" t="s">
        <v>26</v>
      </c>
      <c r="AC22" s="157">
        <f t="shared" ref="AC22:AK22" si="8">AC7</f>
        <v>0.8</v>
      </c>
      <c r="AD22" s="157">
        <f t="shared" si="8"/>
        <v>0.5</v>
      </c>
      <c r="AE22" s="157">
        <f t="shared" si="8"/>
        <v>0.49</v>
      </c>
      <c r="AF22" s="157">
        <f t="shared" si="8"/>
        <v>0.45</v>
      </c>
      <c r="AG22" s="157">
        <f t="shared" si="8"/>
        <v>0.15</v>
      </c>
      <c r="AH22" s="157">
        <f t="shared" si="8"/>
        <v>0.45</v>
      </c>
      <c r="AI22" s="157">
        <f t="shared" si="8"/>
        <v>0.5</v>
      </c>
      <c r="AJ22" s="157">
        <f t="shared" si="8"/>
        <v>1</v>
      </c>
      <c r="AK22" s="157">
        <f t="shared" si="8"/>
        <v>0.22</v>
      </c>
    </row>
    <row r="23" spans="1:37" s="79" customFormat="1" ht="30" customHeight="1">
      <c r="C23" s="263"/>
      <c r="D23" s="251"/>
      <c r="E23" s="254"/>
      <c r="J23" s="251"/>
      <c r="K23" s="254"/>
      <c r="L23" s="171"/>
      <c r="M23" s="172"/>
      <c r="N23" s="172"/>
      <c r="O23" s="111"/>
      <c r="P23" s="111"/>
      <c r="Q23" s="123" t="s">
        <v>27</v>
      </c>
      <c r="R23" s="129">
        <f t="shared" ref="R23:Z23" si="9">R8</f>
        <v>0.1111111111111111</v>
      </c>
      <c r="S23" s="129">
        <f t="shared" si="9"/>
        <v>0.1111111111111111</v>
      </c>
      <c r="T23" s="129">
        <f t="shared" si="9"/>
        <v>0.22222222222222221</v>
      </c>
      <c r="U23" s="129">
        <f t="shared" si="9"/>
        <v>0.22222222222222221</v>
      </c>
      <c r="V23" s="153">
        <f t="shared" si="9"/>
        <v>0</v>
      </c>
      <c r="W23" s="153">
        <f t="shared" si="9"/>
        <v>0.1111111111111111</v>
      </c>
      <c r="X23" s="153">
        <f t="shared" si="9"/>
        <v>5.5555555555555552E-2</v>
      </c>
      <c r="Y23" s="153">
        <f t="shared" si="9"/>
        <v>0.1111111111111111</v>
      </c>
      <c r="Z23" s="153">
        <f t="shared" si="9"/>
        <v>0.27777777777777779</v>
      </c>
      <c r="AA23" s="240"/>
      <c r="AB23" s="123" t="s">
        <v>27</v>
      </c>
      <c r="AC23" s="158">
        <f t="shared" ref="AC23:AK23" si="10">AC8</f>
        <v>4.5454545454545456E-2</v>
      </c>
      <c r="AD23" s="158">
        <f t="shared" si="10"/>
        <v>4.5454545454545456E-2</v>
      </c>
      <c r="AE23" s="158">
        <f t="shared" si="10"/>
        <v>4.5454545454545456E-2</v>
      </c>
      <c r="AF23" s="158">
        <f t="shared" si="10"/>
        <v>4.5454545454545456E-2</v>
      </c>
      <c r="AG23" s="158">
        <f t="shared" si="10"/>
        <v>9.0909090909090912E-2</v>
      </c>
      <c r="AH23" s="158">
        <f t="shared" si="10"/>
        <v>0.13636363636363635</v>
      </c>
      <c r="AI23" s="158">
        <f t="shared" si="10"/>
        <v>4.5454545454545456E-2</v>
      </c>
      <c r="AJ23" s="158">
        <f t="shared" si="10"/>
        <v>0.1111</v>
      </c>
      <c r="AK23" s="158">
        <f t="shared" si="10"/>
        <v>0.27272727272727271</v>
      </c>
    </row>
    <row r="24" spans="1:37" s="79" customFormat="1" ht="30" customHeight="1">
      <c r="C24" s="263"/>
      <c r="D24" s="251"/>
      <c r="E24" s="254"/>
      <c r="J24" s="251"/>
      <c r="K24" s="254"/>
      <c r="L24" s="171"/>
      <c r="M24" s="172"/>
      <c r="N24" s="172"/>
      <c r="O24" s="111"/>
      <c r="P24" s="111"/>
      <c r="Q24" s="123" t="s">
        <v>29</v>
      </c>
      <c r="R24" s="164">
        <f t="shared" ref="R24:Z24" si="11">R9</f>
        <v>5.560888888888889</v>
      </c>
      <c r="S24" s="164">
        <f t="shared" si="11"/>
        <v>11.208666666666666</v>
      </c>
      <c r="T24" s="165">
        <f t="shared" si="11"/>
        <v>6.8972399999999991</v>
      </c>
      <c r="U24" s="166">
        <f t="shared" si="11"/>
        <v>22.912599999999998</v>
      </c>
      <c r="V24" s="164">
        <f t="shared" si="11"/>
        <v>0</v>
      </c>
      <c r="W24" s="164">
        <f t="shared" si="11"/>
        <v>10.948</v>
      </c>
      <c r="X24" s="164">
        <f t="shared" si="11"/>
        <v>8.2544444444444451</v>
      </c>
      <c r="Y24" s="164">
        <f t="shared" si="11"/>
        <v>14.510444444444444</v>
      </c>
      <c r="Z24" s="164">
        <f t="shared" si="11"/>
        <v>47.788888888888891</v>
      </c>
      <c r="AA24" s="240"/>
      <c r="AB24" s="123" t="s">
        <v>29</v>
      </c>
      <c r="AC24" s="167">
        <f t="shared" ref="AC24:AK24" si="12">AC9</f>
        <v>2.1090909090909093</v>
      </c>
      <c r="AD24" s="167">
        <f t="shared" si="12"/>
        <v>4.2511363636363644</v>
      </c>
      <c r="AE24" s="168">
        <f t="shared" si="12"/>
        <v>1.307965909090909</v>
      </c>
      <c r="AF24" s="169">
        <f t="shared" si="12"/>
        <v>4.3450568181818179</v>
      </c>
      <c r="AG24" s="167">
        <f t="shared" si="12"/>
        <v>1.0182954545454546</v>
      </c>
      <c r="AH24" s="167">
        <f t="shared" si="12"/>
        <v>12.456818181818182</v>
      </c>
      <c r="AI24" s="167">
        <f t="shared" si="12"/>
        <v>6.2613636363636367</v>
      </c>
      <c r="AJ24" s="167">
        <f t="shared" si="12"/>
        <v>13.451432500000001</v>
      </c>
      <c r="AK24" s="167">
        <f t="shared" si="12"/>
        <v>43.5</v>
      </c>
    </row>
    <row r="25" spans="1:37" s="79" customFormat="1" ht="30" customHeight="1">
      <c r="C25" s="263"/>
      <c r="D25" s="251"/>
      <c r="E25" s="254"/>
      <c r="J25" s="251"/>
      <c r="K25" s="254"/>
      <c r="L25" s="171"/>
      <c r="M25" s="172"/>
      <c r="N25" s="172"/>
      <c r="O25" s="111"/>
      <c r="P25" s="111"/>
      <c r="Q25" s="123" t="s">
        <v>39</v>
      </c>
      <c r="R25" s="155">
        <f>'Colorectal Benefit'!$R$15</f>
        <v>1441.3781090124412</v>
      </c>
      <c r="S25" s="155">
        <f>'Heart Disease Benefit'!$S$16</f>
        <v>1332.6418077395683</v>
      </c>
      <c r="T25" s="155">
        <f>'Stroke Benefits'!$U$18</f>
        <v>4265.2771383769777</v>
      </c>
      <c r="U25" s="155">
        <f>'Hypertension Benefit'!$S$29</f>
        <v>4903.9041707009201</v>
      </c>
      <c r="V25" s="155">
        <f>osteoporosis!$M$22</f>
        <v>2333.4852399999468</v>
      </c>
      <c r="W25" s="155">
        <f>'Type 2 Diabeties'!$Q$18</f>
        <v>2349.6673112603353</v>
      </c>
      <c r="X25" s="155">
        <f>Obesity!$N$32</f>
        <v>2679.2700404212778</v>
      </c>
      <c r="Y25" s="155">
        <f>'Foodborne illness'!$M$34</f>
        <v>1296.1370713710346</v>
      </c>
      <c r="Z25" s="174">
        <v>0</v>
      </c>
      <c r="AA25" s="240"/>
      <c r="AB25" s="123" t="s">
        <v>30</v>
      </c>
      <c r="AC25" s="155">
        <f>'Colorectal Benefit'!$R$15</f>
        <v>1441.3781090124412</v>
      </c>
      <c r="AD25" s="155">
        <f>'Heart Disease Benefit'!$S$16</f>
        <v>1332.6418077395683</v>
      </c>
      <c r="AE25" s="155">
        <f>'Stroke Benefits'!$U$18</f>
        <v>4265.2771383769777</v>
      </c>
      <c r="AF25" s="155">
        <f>'Hypertension Benefit'!$S$29</f>
        <v>4903.9041707009201</v>
      </c>
      <c r="AG25" s="155">
        <f>osteoporosis!$M$22</f>
        <v>2333.4852399999468</v>
      </c>
      <c r="AH25" s="155">
        <f>'Type 2 Diabeties'!$Q$18</f>
        <v>2349.6673112603353</v>
      </c>
      <c r="AI25" s="155">
        <f>Obesity!$N$32</f>
        <v>2679.2700404212778</v>
      </c>
      <c r="AJ25" s="155">
        <f>'Foodborne illness'!$M$34</f>
        <v>1296.1370713710346</v>
      </c>
      <c r="AK25" s="174"/>
    </row>
    <row r="26" spans="1:37" s="79" customFormat="1">
      <c r="C26" s="263"/>
      <c r="D26" s="251"/>
      <c r="E26" s="254"/>
      <c r="J26" s="251"/>
      <c r="K26" s="254"/>
      <c r="L26" s="171"/>
      <c r="M26" s="172"/>
      <c r="N26" s="172"/>
      <c r="O26" s="111"/>
      <c r="P26" s="111"/>
      <c r="Q26" s="282" t="s">
        <v>40</v>
      </c>
      <c r="R26" s="225">
        <f t="shared" ref="R26:Z26" si="13">R24*R25</f>
        <v>8015.3435110949622</v>
      </c>
      <c r="S26" s="225">
        <f t="shared" si="13"/>
        <v>14937.137809016907</v>
      </c>
      <c r="T26" s="257">
        <f t="shared" si="13"/>
        <v>29418.640089899221</v>
      </c>
      <c r="U26" s="259">
        <f t="shared" si="13"/>
        <v>112361.1947016019</v>
      </c>
      <c r="V26" s="225">
        <f t="shared" si="13"/>
        <v>0</v>
      </c>
      <c r="W26" s="225">
        <f t="shared" si="13"/>
        <v>25724.157723678152</v>
      </c>
      <c r="X26" s="225">
        <f t="shared" si="13"/>
        <v>22115.885700321862</v>
      </c>
      <c r="Y26" s="225">
        <f t="shared" si="13"/>
        <v>18807.52496651432</v>
      </c>
      <c r="Z26" s="225">
        <f t="shared" si="13"/>
        <v>0</v>
      </c>
      <c r="AA26" s="240"/>
      <c r="AB26" s="281" t="s">
        <v>31</v>
      </c>
      <c r="AC26" s="276">
        <f t="shared" ref="AC26:AK26" si="14">AC24*AC25</f>
        <v>3039.9974662807854</v>
      </c>
      <c r="AD26" s="276">
        <f t="shared" si="14"/>
        <v>5665.2420485837793</v>
      </c>
      <c r="AE26" s="276">
        <f t="shared" si="14"/>
        <v>5578.8370898219146</v>
      </c>
      <c r="AF26" s="276">
        <f t="shared" si="14"/>
        <v>21307.742252614287</v>
      </c>
      <c r="AG26" s="276">
        <f t="shared" si="14"/>
        <v>2376.1774131408547</v>
      </c>
      <c r="AH26" s="276">
        <f t="shared" si="14"/>
        <v>29269.378484131586</v>
      </c>
      <c r="AI26" s="276">
        <f t="shared" si="14"/>
        <v>16775.88400309232</v>
      </c>
      <c r="AJ26" s="276">
        <f t="shared" si="14"/>
        <v>17434.900326295156</v>
      </c>
      <c r="AK26" s="276">
        <f t="shared" si="14"/>
        <v>0</v>
      </c>
    </row>
    <row r="27" spans="1:37" s="79" customFormat="1">
      <c r="D27" s="251"/>
      <c r="E27" s="254"/>
      <c r="J27" s="251"/>
      <c r="K27" s="254"/>
      <c r="L27" s="171"/>
      <c r="M27" s="172"/>
      <c r="N27" s="172"/>
      <c r="O27" s="111"/>
      <c r="P27" s="111"/>
      <c r="Q27" s="282"/>
      <c r="R27" s="226"/>
      <c r="S27" s="226"/>
      <c r="T27" s="258"/>
      <c r="U27" s="260"/>
      <c r="V27" s="226"/>
      <c r="W27" s="226"/>
      <c r="X27" s="226"/>
      <c r="Y27" s="226"/>
      <c r="Z27" s="226"/>
      <c r="AA27" s="240"/>
      <c r="AB27" s="281"/>
      <c r="AC27" s="277"/>
      <c r="AD27" s="277"/>
      <c r="AE27" s="277"/>
      <c r="AF27" s="277"/>
      <c r="AG27" s="277"/>
      <c r="AH27" s="277"/>
      <c r="AI27" s="277"/>
      <c r="AJ27" s="277"/>
      <c r="AK27" s="277"/>
    </row>
    <row r="28" spans="1:37" s="79" customFormat="1">
      <c r="D28" s="251"/>
      <c r="E28" s="254"/>
      <c r="J28" s="251"/>
      <c r="K28" s="254"/>
      <c r="L28" s="171"/>
      <c r="M28" s="172"/>
      <c r="N28" s="172"/>
      <c r="O28" s="111"/>
      <c r="P28" s="111"/>
      <c r="Q28" s="136" t="s">
        <v>41</v>
      </c>
      <c r="R28" s="155">
        <f>SUM(R26:Z27)</f>
        <v>231379.88450212736</v>
      </c>
      <c r="S28" s="155"/>
      <c r="T28" s="155"/>
      <c r="U28" s="155"/>
      <c r="V28" s="155"/>
      <c r="W28" s="155"/>
      <c r="X28" s="155"/>
      <c r="Y28" s="155"/>
      <c r="Z28" s="174"/>
      <c r="AA28" s="240"/>
      <c r="AB28" s="119" t="s">
        <v>41</v>
      </c>
      <c r="AC28" s="160">
        <f>SUM(AC26:AK27)</f>
        <v>101448.15908396068</v>
      </c>
      <c r="AD28" s="160"/>
      <c r="AE28" s="160"/>
      <c r="AF28" s="160"/>
      <c r="AG28" s="160"/>
      <c r="AH28" s="160"/>
      <c r="AI28" s="160"/>
      <c r="AJ28" s="160"/>
      <c r="AK28" s="160"/>
    </row>
    <row r="29" spans="1:37" s="79" customFormat="1">
      <c r="D29" s="251"/>
      <c r="E29" s="254"/>
      <c r="J29" s="251"/>
      <c r="K29" s="254"/>
      <c r="L29" s="171"/>
      <c r="M29" s="172"/>
      <c r="N29" s="172"/>
      <c r="O29" s="111"/>
      <c r="P29" s="111"/>
      <c r="Q29" s="145"/>
      <c r="R29" s="111"/>
      <c r="S29" s="111"/>
      <c r="T29" s="111"/>
      <c r="U29" s="111"/>
      <c r="AA29" s="240"/>
    </row>
    <row r="30" spans="1:37" s="79" customFormat="1">
      <c r="D30" s="251"/>
      <c r="E30" s="254"/>
      <c r="J30" s="251"/>
      <c r="K30" s="254"/>
      <c r="L30" s="171"/>
      <c r="M30" s="172"/>
      <c r="N30" s="172"/>
      <c r="O30" s="111"/>
      <c r="P30" s="111"/>
      <c r="Q30" s="145"/>
      <c r="R30" s="111"/>
      <c r="S30" s="111"/>
      <c r="T30" s="111"/>
      <c r="U30" s="111"/>
      <c r="AA30" s="240"/>
    </row>
    <row r="31" spans="1:37" s="79" customFormat="1">
      <c r="D31" s="251"/>
      <c r="E31" s="254"/>
      <c r="J31" s="251"/>
      <c r="K31" s="254"/>
      <c r="L31" s="171"/>
      <c r="M31" s="172"/>
      <c r="N31" s="172"/>
      <c r="O31" s="111"/>
      <c r="P31" s="111"/>
      <c r="Q31" s="145"/>
      <c r="R31" s="111"/>
      <c r="S31" s="111"/>
      <c r="T31" s="111"/>
      <c r="U31" s="111"/>
      <c r="AA31" s="240"/>
    </row>
    <row r="32" spans="1:37" s="79" customFormat="1">
      <c r="D32" s="251"/>
      <c r="E32" s="254"/>
      <c r="J32" s="251"/>
      <c r="K32" s="254"/>
      <c r="L32" s="171"/>
      <c r="M32" s="172"/>
      <c r="N32" s="172"/>
      <c r="O32" s="111"/>
      <c r="P32" s="111"/>
      <c r="Q32" s="145"/>
      <c r="R32" s="111"/>
      <c r="S32" s="111"/>
      <c r="T32" s="111"/>
      <c r="U32" s="111"/>
      <c r="AA32" s="240"/>
    </row>
    <row r="33" spans="4:27" s="79" customFormat="1">
      <c r="D33" s="251"/>
      <c r="E33" s="254"/>
      <c r="J33" s="251"/>
      <c r="K33" s="254"/>
      <c r="L33" s="171"/>
      <c r="M33" s="172"/>
      <c r="N33" s="172"/>
      <c r="O33" s="111"/>
      <c r="P33" s="111"/>
      <c r="Q33" s="145"/>
      <c r="R33" s="111" t="s">
        <v>3</v>
      </c>
      <c r="S33" s="111" t="s">
        <v>4</v>
      </c>
      <c r="T33" s="111"/>
      <c r="U33" s="111" t="s">
        <v>119</v>
      </c>
      <c r="AA33" s="240"/>
    </row>
    <row r="34" spans="4:27" s="79" customFormat="1">
      <c r="D34" s="252"/>
      <c r="E34" s="255"/>
      <c r="J34" s="252"/>
      <c r="K34" s="255"/>
      <c r="L34" s="171"/>
      <c r="M34" s="172"/>
      <c r="N34" s="172"/>
      <c r="O34" s="111"/>
      <c r="P34" s="111"/>
      <c r="Q34" s="79" t="s">
        <v>42</v>
      </c>
      <c r="R34" s="79">
        <v>782</v>
      </c>
      <c r="S34" s="79">
        <v>725</v>
      </c>
      <c r="T34" s="111"/>
      <c r="U34" s="111"/>
      <c r="AA34" s="240"/>
    </row>
    <row r="35" spans="4:27" s="79" customFormat="1">
      <c r="D35" s="108"/>
      <c r="E35" s="144"/>
      <c r="L35" s="171"/>
      <c r="M35" s="172"/>
      <c r="N35" s="172"/>
      <c r="O35" s="111"/>
      <c r="P35" s="111"/>
      <c r="Q35" s="145" t="s">
        <v>43</v>
      </c>
      <c r="R35" s="161">
        <f>$R$13</f>
        <v>1759266.7406491777</v>
      </c>
      <c r="S35" s="161">
        <f>$AC$13</f>
        <v>1542311.5521166408</v>
      </c>
      <c r="T35" s="111"/>
      <c r="U35" s="111"/>
      <c r="AA35" s="240"/>
    </row>
    <row r="36" spans="4:27" s="79" customFormat="1">
      <c r="D36" s="108"/>
      <c r="E36" s="144"/>
      <c r="L36" s="171"/>
      <c r="M36" s="172"/>
      <c r="N36" s="172"/>
      <c r="O36" s="111"/>
      <c r="P36" s="111"/>
      <c r="Q36" s="145" t="s">
        <v>44</v>
      </c>
      <c r="R36" s="161">
        <f>(R35/R34)</f>
        <v>2249.7017143851376</v>
      </c>
      <c r="S36" s="161">
        <f>(S35/S34)</f>
        <v>2127.3262787815734</v>
      </c>
      <c r="T36" s="111"/>
      <c r="U36" s="111"/>
      <c r="AA36" s="240"/>
    </row>
    <row r="37" spans="4:27" s="79" customFormat="1">
      <c r="D37" s="108"/>
      <c r="E37" s="144"/>
      <c r="L37" s="171"/>
      <c r="M37" s="172"/>
      <c r="N37" s="172"/>
      <c r="O37" s="111"/>
      <c r="P37" s="111"/>
      <c r="Q37" s="145" t="s">
        <v>45</v>
      </c>
      <c r="R37" s="161">
        <f>$R$28</f>
        <v>231379.88450212736</v>
      </c>
      <c r="S37" s="161">
        <f>$AC$28</f>
        <v>101448.15908396068</v>
      </c>
      <c r="T37" s="111"/>
      <c r="U37" s="111"/>
      <c r="AA37" s="240"/>
    </row>
    <row r="38" spans="4:27" s="79" customFormat="1">
      <c r="D38" s="108"/>
      <c r="E38" s="144"/>
      <c r="L38" s="171"/>
      <c r="M38" s="172"/>
      <c r="N38" s="172"/>
      <c r="O38" s="111"/>
      <c r="P38" s="111"/>
      <c r="Q38" s="145" t="s">
        <v>46</v>
      </c>
      <c r="R38" s="161">
        <f>(R37/R34)</f>
        <v>295.88220524568715</v>
      </c>
      <c r="S38" s="161">
        <f>S37/S34</f>
        <v>139.92849528822163</v>
      </c>
      <c r="T38" s="111"/>
      <c r="U38" s="111"/>
      <c r="AA38" s="240"/>
    </row>
    <row r="39" spans="4:27" s="79" customFormat="1">
      <c r="D39" s="108"/>
      <c r="E39" s="144"/>
      <c r="L39" s="171"/>
      <c r="M39" s="172"/>
      <c r="N39" s="172"/>
      <c r="O39" s="111"/>
      <c r="P39" s="111"/>
      <c r="Q39" s="145" t="s">
        <v>47</v>
      </c>
      <c r="R39" s="161">
        <f>SUM(R35,R37)</f>
        <v>1990646.625151305</v>
      </c>
      <c r="S39" s="161">
        <f>SUM(S35,S37)</f>
        <v>1643759.7112006014</v>
      </c>
      <c r="T39" s="111"/>
      <c r="U39" s="111"/>
      <c r="AA39" s="240"/>
    </row>
    <row r="40" spans="4:27" s="79" customFormat="1">
      <c r="D40" s="108"/>
      <c r="E40" s="144"/>
      <c r="L40" s="171"/>
      <c r="M40" s="172"/>
      <c r="N40" s="172"/>
      <c r="O40" s="111"/>
      <c r="P40" s="111"/>
      <c r="Q40" s="145" t="s">
        <v>48</v>
      </c>
      <c r="R40" s="161">
        <f>R39/R34</f>
        <v>2545.5839196308248</v>
      </c>
      <c r="S40" s="161">
        <f>S39/S34</f>
        <v>2267.2547740697951</v>
      </c>
      <c r="T40" s="111"/>
      <c r="U40" s="161">
        <f>R40+S40</f>
        <v>4812.8386937006198</v>
      </c>
      <c r="AA40" s="240"/>
    </row>
    <row r="41" spans="4:27" s="79" customFormat="1">
      <c r="D41" s="108"/>
      <c r="E41" s="144"/>
      <c r="L41" s="171"/>
      <c r="M41" s="172"/>
      <c r="N41" s="172"/>
      <c r="O41" s="111"/>
      <c r="P41" s="111"/>
      <c r="Q41" s="145" t="s">
        <v>49</v>
      </c>
      <c r="R41" s="162">
        <v>572460.6</v>
      </c>
      <c r="S41" s="162">
        <v>1249675.22</v>
      </c>
      <c r="T41" s="111"/>
      <c r="U41" s="111"/>
      <c r="AA41" s="240"/>
    </row>
    <row r="42" spans="4:27" s="79" customFormat="1">
      <c r="D42" s="108"/>
      <c r="E42" s="144"/>
      <c r="L42" s="171"/>
      <c r="M42" s="172"/>
      <c r="N42" s="172"/>
      <c r="O42" s="111"/>
      <c r="P42" s="111"/>
      <c r="Q42" s="145" t="s">
        <v>50</v>
      </c>
      <c r="R42" s="162">
        <f>R41/R34</f>
        <v>732.04680306905368</v>
      </c>
      <c r="S42" s="162">
        <f>S41/S34</f>
        <v>1723.6899586206896</v>
      </c>
      <c r="T42" s="111"/>
      <c r="U42" s="162">
        <f>R42+S42</f>
        <v>2455.7367616897432</v>
      </c>
      <c r="AA42" s="240"/>
    </row>
    <row r="43" spans="4:27" s="79" customFormat="1">
      <c r="D43" s="108"/>
      <c r="E43" s="144"/>
      <c r="L43" s="171"/>
      <c r="M43" s="172"/>
      <c r="N43" s="172"/>
      <c r="O43" s="111"/>
      <c r="P43" s="111"/>
      <c r="Q43" s="145" t="s">
        <v>51</v>
      </c>
      <c r="R43" s="163">
        <f>R40/R42</f>
        <v>3.4773513236566935</v>
      </c>
      <c r="S43" s="163">
        <f>S40/S42</f>
        <v>1.3153495283363317</v>
      </c>
      <c r="T43" s="111"/>
      <c r="U43" s="111">
        <f>U40/U42</f>
        <v>1.9598349337691237</v>
      </c>
      <c r="AA43" s="240"/>
    </row>
    <row r="44" spans="4:27" s="79" customFormat="1">
      <c r="D44" s="108"/>
      <c r="E44" s="144"/>
      <c r="L44" s="171"/>
      <c r="M44" s="172"/>
      <c r="N44" s="172"/>
      <c r="O44" s="111"/>
      <c r="P44" s="111"/>
      <c r="Q44" s="145"/>
      <c r="R44" s="111"/>
      <c r="S44" s="111"/>
      <c r="T44" s="111"/>
      <c r="U44" s="111"/>
      <c r="AA44" s="240"/>
    </row>
    <row r="45" spans="4:27" s="79" customFormat="1">
      <c r="D45" s="108"/>
      <c r="E45" s="144"/>
      <c r="L45" s="171"/>
      <c r="M45" s="172"/>
      <c r="N45" s="172"/>
      <c r="O45" s="111"/>
      <c r="P45" s="111"/>
      <c r="Q45" s="145"/>
      <c r="R45" s="111"/>
      <c r="S45" s="111"/>
      <c r="T45" s="111"/>
      <c r="U45" s="111"/>
      <c r="AA45" s="240"/>
    </row>
    <row r="46" spans="4:27" s="79" customFormat="1">
      <c r="D46" s="108"/>
      <c r="E46" s="144"/>
      <c r="L46" s="171"/>
      <c r="M46" s="172"/>
      <c r="N46" s="172"/>
      <c r="O46" s="111"/>
      <c r="P46" s="111"/>
      <c r="Q46" s="145"/>
      <c r="R46" s="111"/>
      <c r="S46" s="111"/>
      <c r="T46" s="111"/>
      <c r="U46" s="111"/>
      <c r="AA46" s="240"/>
    </row>
    <row r="47" spans="4:27" s="79" customFormat="1">
      <c r="D47" s="108"/>
      <c r="E47" s="144"/>
      <c r="L47" s="171"/>
      <c r="M47" s="172"/>
      <c r="N47" s="172"/>
      <c r="O47" s="111"/>
      <c r="P47" s="111"/>
      <c r="Q47" s="145"/>
      <c r="R47" s="111"/>
      <c r="S47" s="111"/>
      <c r="T47" s="111"/>
      <c r="U47" s="111"/>
      <c r="AA47" s="240"/>
    </row>
    <row r="48" spans="4:27" s="79" customFormat="1">
      <c r="D48" s="108"/>
      <c r="E48" s="144"/>
      <c r="L48" s="171"/>
      <c r="M48" s="172"/>
      <c r="N48" s="172"/>
      <c r="O48" s="111"/>
      <c r="P48" s="111"/>
      <c r="Q48" s="145"/>
      <c r="R48" s="111"/>
      <c r="S48" s="111"/>
      <c r="T48" s="111"/>
      <c r="U48" s="111"/>
      <c r="AA48" s="240"/>
    </row>
    <row r="49" spans="4:27" s="79" customFormat="1">
      <c r="D49" s="108"/>
      <c r="E49" s="144"/>
      <c r="L49" s="171"/>
      <c r="M49" s="172"/>
      <c r="N49" s="172"/>
      <c r="O49" s="111"/>
      <c r="P49" s="111"/>
      <c r="Q49" s="145"/>
      <c r="R49" s="111"/>
      <c r="S49" s="111"/>
      <c r="T49" s="111"/>
      <c r="U49" s="111"/>
      <c r="AA49" s="240"/>
    </row>
    <row r="50" spans="4:27" s="79" customFormat="1">
      <c r="D50" s="108"/>
      <c r="E50" s="144"/>
      <c r="L50" s="171"/>
      <c r="M50" s="172"/>
      <c r="N50" s="172"/>
      <c r="O50" s="111"/>
      <c r="P50" s="111"/>
      <c r="Q50" s="145"/>
      <c r="R50" s="111"/>
      <c r="S50" s="111"/>
      <c r="T50" s="111"/>
      <c r="U50" s="111"/>
      <c r="AA50" s="240"/>
    </row>
    <row r="51" spans="4:27" s="79" customFormat="1">
      <c r="D51" s="108"/>
      <c r="E51" s="144"/>
      <c r="L51" s="171"/>
      <c r="M51" s="172"/>
      <c r="N51" s="172"/>
      <c r="O51" s="111"/>
      <c r="P51" s="111"/>
      <c r="Q51" s="145"/>
      <c r="R51" s="111"/>
      <c r="S51" s="111"/>
      <c r="T51" s="111"/>
      <c r="U51" s="111"/>
      <c r="AA51" s="240"/>
    </row>
    <row r="52" spans="4:27" s="79" customFormat="1">
      <c r="D52" s="108"/>
      <c r="E52" s="144"/>
      <c r="L52" s="171"/>
      <c r="M52" s="172"/>
      <c r="N52" s="172"/>
      <c r="O52" s="111"/>
      <c r="P52" s="111"/>
      <c r="Q52" s="145"/>
      <c r="R52" s="111"/>
      <c r="S52" s="111"/>
      <c r="T52" s="111"/>
      <c r="U52" s="111"/>
      <c r="AA52" s="240"/>
    </row>
    <row r="53" spans="4:27" s="79" customFormat="1">
      <c r="D53" s="108"/>
      <c r="E53" s="144"/>
      <c r="L53" s="171"/>
      <c r="M53" s="172"/>
      <c r="N53" s="172"/>
      <c r="O53" s="111"/>
      <c r="P53" s="111"/>
      <c r="Q53" s="145"/>
      <c r="R53" s="111"/>
      <c r="S53" s="111"/>
      <c r="T53" s="111"/>
      <c r="U53" s="111"/>
      <c r="AA53" s="240"/>
    </row>
    <row r="54" spans="4:27" s="79" customFormat="1">
      <c r="D54" s="108"/>
      <c r="E54" s="144"/>
      <c r="L54" s="171"/>
      <c r="M54" s="172"/>
      <c r="N54" s="172"/>
      <c r="O54" s="111"/>
      <c r="P54" s="111"/>
      <c r="Q54" s="145"/>
      <c r="R54" s="111"/>
      <c r="S54" s="111"/>
      <c r="T54" s="111"/>
      <c r="U54" s="111"/>
      <c r="AA54" s="240"/>
    </row>
    <row r="55" spans="4:27" s="79" customFormat="1">
      <c r="D55" s="108"/>
      <c r="E55" s="144"/>
      <c r="L55" s="171"/>
      <c r="M55" s="172"/>
      <c r="N55" s="172"/>
      <c r="O55" s="111"/>
      <c r="P55" s="111"/>
      <c r="Q55" s="145"/>
      <c r="R55" s="111"/>
      <c r="S55" s="111"/>
      <c r="T55" s="111"/>
      <c r="U55" s="111"/>
      <c r="AA55" s="240"/>
    </row>
    <row r="56" spans="4:27" s="79" customFormat="1">
      <c r="D56" s="108"/>
      <c r="E56" s="144"/>
      <c r="L56" s="171"/>
      <c r="M56" s="172"/>
      <c r="N56" s="172"/>
      <c r="O56" s="111"/>
      <c r="P56" s="111"/>
      <c r="Q56" s="145"/>
      <c r="R56" s="111"/>
      <c r="S56" s="111"/>
      <c r="T56" s="111"/>
      <c r="U56" s="111"/>
      <c r="AA56" s="240"/>
    </row>
    <row r="57" spans="4:27" s="79" customFormat="1">
      <c r="D57" s="108"/>
      <c r="E57" s="144"/>
      <c r="L57" s="171"/>
      <c r="M57" s="172"/>
      <c r="N57" s="172"/>
      <c r="O57" s="111"/>
      <c r="P57" s="111"/>
      <c r="Q57" s="145"/>
      <c r="R57" s="111"/>
      <c r="S57" s="111"/>
      <c r="T57" s="111"/>
      <c r="U57" s="111"/>
      <c r="AA57" s="240"/>
    </row>
    <row r="58" spans="4:27" s="79" customFormat="1">
      <c r="D58" s="108"/>
      <c r="E58" s="144"/>
      <c r="L58" s="171"/>
      <c r="M58" s="172"/>
      <c r="N58" s="172"/>
      <c r="O58" s="111"/>
      <c r="P58" s="111"/>
      <c r="Q58" s="145"/>
      <c r="R58" s="111"/>
      <c r="S58" s="111"/>
      <c r="T58" s="111"/>
      <c r="U58" s="111"/>
      <c r="AA58" s="240"/>
    </row>
    <row r="59" spans="4:27" s="79" customFormat="1">
      <c r="D59" s="108"/>
      <c r="E59" s="144"/>
      <c r="L59" s="171"/>
      <c r="M59" s="172"/>
      <c r="N59" s="172"/>
      <c r="O59" s="111"/>
      <c r="P59" s="111"/>
      <c r="Q59" s="145"/>
      <c r="R59" s="111"/>
      <c r="S59" s="111"/>
      <c r="T59" s="111"/>
      <c r="U59" s="111"/>
      <c r="AA59" s="240"/>
    </row>
    <row r="60" spans="4:27" s="79" customFormat="1">
      <c r="D60" s="108"/>
      <c r="E60" s="144"/>
      <c r="L60" s="171"/>
      <c r="M60" s="172"/>
      <c r="N60" s="172"/>
      <c r="O60" s="111"/>
      <c r="P60" s="111"/>
      <c r="Q60" s="145"/>
      <c r="R60" s="111"/>
      <c r="S60" s="111"/>
      <c r="T60" s="111"/>
      <c r="U60" s="111"/>
      <c r="AA60" s="240"/>
    </row>
    <row r="61" spans="4:27" s="79" customFormat="1">
      <c r="D61" s="108"/>
      <c r="E61" s="144"/>
      <c r="L61" s="171"/>
      <c r="M61" s="172"/>
      <c r="N61" s="172"/>
      <c r="O61" s="111"/>
      <c r="P61" s="111"/>
      <c r="Q61" s="145"/>
      <c r="R61" s="111"/>
      <c r="S61" s="111"/>
      <c r="T61" s="111"/>
      <c r="U61" s="111"/>
      <c r="AA61" s="240"/>
    </row>
    <row r="62" spans="4:27" s="79" customFormat="1">
      <c r="D62" s="108"/>
      <c r="E62" s="144"/>
      <c r="L62" s="171"/>
      <c r="M62" s="172"/>
      <c r="N62" s="172"/>
      <c r="O62" s="111"/>
      <c r="P62" s="111"/>
      <c r="Q62" s="145"/>
      <c r="R62" s="111"/>
      <c r="S62" s="111"/>
      <c r="T62" s="111"/>
      <c r="U62" s="111"/>
      <c r="AA62" s="240"/>
    </row>
    <row r="63" spans="4:27" s="79" customFormat="1">
      <c r="D63" s="108"/>
      <c r="E63" s="144"/>
      <c r="L63" s="171"/>
      <c r="M63" s="172"/>
      <c r="N63" s="172"/>
      <c r="O63" s="111"/>
      <c r="P63" s="111"/>
      <c r="Q63" s="145"/>
      <c r="R63" s="111"/>
      <c r="S63" s="111"/>
      <c r="T63" s="111"/>
      <c r="U63" s="111"/>
      <c r="AA63" s="240"/>
    </row>
    <row r="64" spans="4:27" s="79" customFormat="1">
      <c r="D64" s="108"/>
      <c r="E64" s="144"/>
      <c r="L64" s="171"/>
      <c r="M64" s="172"/>
      <c r="N64" s="172"/>
      <c r="O64" s="111"/>
      <c r="P64" s="111"/>
      <c r="Q64" s="145"/>
      <c r="R64" s="111"/>
      <c r="S64" s="111"/>
      <c r="T64" s="111"/>
      <c r="U64" s="111"/>
      <c r="AA64" s="240"/>
    </row>
    <row r="65" spans="4:27" s="79" customFormat="1">
      <c r="D65" s="108"/>
      <c r="E65" s="144"/>
      <c r="L65" s="171"/>
      <c r="M65" s="172"/>
      <c r="N65" s="172"/>
      <c r="O65" s="111"/>
      <c r="P65" s="111"/>
      <c r="Q65" s="145"/>
      <c r="R65" s="111"/>
      <c r="S65" s="111"/>
      <c r="T65" s="111"/>
      <c r="U65" s="111"/>
      <c r="AA65" s="240"/>
    </row>
    <row r="66" spans="4:27" s="79" customFormat="1">
      <c r="D66" s="108"/>
      <c r="E66" s="144"/>
      <c r="L66" s="171"/>
      <c r="M66" s="172"/>
      <c r="N66" s="172"/>
      <c r="O66" s="111"/>
      <c r="P66" s="111"/>
      <c r="Q66" s="145"/>
      <c r="R66" s="111"/>
      <c r="S66" s="111"/>
      <c r="T66" s="111"/>
      <c r="U66" s="111"/>
      <c r="AA66" s="240"/>
    </row>
    <row r="67" spans="4:27" s="79" customFormat="1">
      <c r="D67" s="108"/>
      <c r="E67" s="144"/>
      <c r="L67" s="171"/>
      <c r="M67" s="172"/>
      <c r="N67" s="172"/>
      <c r="O67" s="111"/>
      <c r="P67" s="111"/>
      <c r="Q67" s="145"/>
      <c r="R67" s="111"/>
      <c r="S67" s="111"/>
      <c r="T67" s="111"/>
      <c r="U67" s="111"/>
      <c r="AA67" s="240"/>
    </row>
    <row r="68" spans="4:27" s="79" customFormat="1">
      <c r="D68" s="108"/>
      <c r="E68" s="144"/>
      <c r="L68" s="171"/>
      <c r="M68" s="172"/>
      <c r="N68" s="172"/>
      <c r="O68" s="111"/>
      <c r="P68" s="111"/>
      <c r="Q68" s="145"/>
      <c r="R68" s="111"/>
      <c r="S68" s="111"/>
      <c r="T68" s="111"/>
      <c r="U68" s="111"/>
      <c r="AA68" s="240"/>
    </row>
    <row r="69" spans="4:27" s="79" customFormat="1">
      <c r="D69" s="108"/>
      <c r="E69" s="144"/>
      <c r="L69" s="171"/>
      <c r="M69" s="172"/>
      <c r="N69" s="172"/>
      <c r="O69" s="111"/>
      <c r="P69" s="111"/>
      <c r="Q69" s="145"/>
      <c r="R69" s="111"/>
      <c r="S69" s="111"/>
      <c r="T69" s="111"/>
      <c r="U69" s="111"/>
      <c r="AA69" s="240"/>
    </row>
    <row r="70" spans="4:27" s="79" customFormat="1">
      <c r="D70" s="108"/>
      <c r="E70" s="144"/>
      <c r="L70" s="171"/>
      <c r="M70" s="172"/>
      <c r="N70" s="172"/>
      <c r="O70" s="111"/>
      <c r="P70" s="111"/>
      <c r="Q70" s="145"/>
      <c r="R70" s="111"/>
      <c r="S70" s="111"/>
      <c r="T70" s="111"/>
      <c r="U70" s="111"/>
      <c r="AA70" s="240"/>
    </row>
    <row r="71" spans="4:27" s="79" customFormat="1">
      <c r="D71" s="108"/>
      <c r="E71" s="144"/>
      <c r="L71" s="171"/>
      <c r="M71" s="172"/>
      <c r="N71" s="172"/>
      <c r="O71" s="111"/>
      <c r="P71" s="111"/>
      <c r="Q71" s="145"/>
      <c r="R71" s="111"/>
      <c r="S71" s="111"/>
      <c r="T71" s="111"/>
      <c r="U71" s="111"/>
      <c r="AA71" s="240"/>
    </row>
  </sheetData>
  <mergeCells count="65">
    <mergeCell ref="AB16:AB19"/>
    <mergeCell ref="AC16:AK18"/>
    <mergeCell ref="AB26:AB27"/>
    <mergeCell ref="AC26:AC27"/>
    <mergeCell ref="AD26:AD27"/>
    <mergeCell ref="AE26:AE27"/>
    <mergeCell ref="AF26:AF27"/>
    <mergeCell ref="AG26:AG27"/>
    <mergeCell ref="AH26:AH27"/>
    <mergeCell ref="AI26:AI27"/>
    <mergeCell ref="AJ26:AJ27"/>
    <mergeCell ref="AK26:AK27"/>
    <mergeCell ref="Q16:Q19"/>
    <mergeCell ref="R16:Z18"/>
    <mergeCell ref="Q26:Q27"/>
    <mergeCell ref="R26:R27"/>
    <mergeCell ref="S26:S27"/>
    <mergeCell ref="T26:T27"/>
    <mergeCell ref="U26:U27"/>
    <mergeCell ref="V26:V27"/>
    <mergeCell ref="W26:W27"/>
    <mergeCell ref="X26:X27"/>
    <mergeCell ref="Y26:Y27"/>
    <mergeCell ref="Z26:Z27"/>
    <mergeCell ref="Q11:Q12"/>
    <mergeCell ref="R11:R12"/>
    <mergeCell ref="S11:S12"/>
    <mergeCell ref="T11:T12"/>
    <mergeCell ref="Z11:Z12"/>
    <mergeCell ref="U11:U12"/>
    <mergeCell ref="V11:V12"/>
    <mergeCell ref="W11:W12"/>
    <mergeCell ref="X11:X12"/>
    <mergeCell ref="Y11:Y12"/>
    <mergeCell ref="Q1:Q4"/>
    <mergeCell ref="P1:P4"/>
    <mergeCell ref="AA1:AA1048576"/>
    <mergeCell ref="AC1:AK3"/>
    <mergeCell ref="R1:Z3"/>
    <mergeCell ref="AC11:AC12"/>
    <mergeCell ref="AD11:AD12"/>
    <mergeCell ref="AE11:AE12"/>
    <mergeCell ref="AF11:AF12"/>
    <mergeCell ref="AG11:AG12"/>
    <mergeCell ref="AH11:AH12"/>
    <mergeCell ref="AI11:AI12"/>
    <mergeCell ref="AJ11:AJ12"/>
    <mergeCell ref="AK11:AK12"/>
    <mergeCell ref="AB1:AB4"/>
    <mergeCell ref="AB11:AB12"/>
    <mergeCell ref="O1:O4"/>
    <mergeCell ref="M1:N2"/>
    <mergeCell ref="K18:K34"/>
    <mergeCell ref="C18:C26"/>
    <mergeCell ref="D18:D34"/>
    <mergeCell ref="E18:E34"/>
    <mergeCell ref="J18:J34"/>
    <mergeCell ref="A1:E2"/>
    <mergeCell ref="A9:E11"/>
    <mergeCell ref="A3:E3"/>
    <mergeCell ref="A16:E16"/>
    <mergeCell ref="G9:K11"/>
    <mergeCell ref="G16:K16"/>
    <mergeCell ref="G3:K3"/>
    <mergeCell ref="G1:K2"/>
  </mergeCells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D71"/>
  <sheetViews>
    <sheetView topLeftCell="I1" zoomScale="80" zoomScaleNormal="80" workbookViewId="0">
      <selection activeCell="R9" sqref="R9"/>
    </sheetView>
  </sheetViews>
  <sheetFormatPr defaultRowHeight="15"/>
  <cols>
    <col min="1" max="1" width="17.28515625" bestFit="1" customWidth="1"/>
    <col min="2" max="3" width="17.28515625" customWidth="1"/>
    <col min="4" max="4" width="18.7109375" style="106" customWidth="1"/>
    <col min="5" max="5" width="18.7109375" style="98" customWidth="1"/>
    <col min="6" max="6" width="4.5703125" style="107" customWidth="1"/>
    <col min="7" max="7" width="4.28515625" style="171" customWidth="1"/>
    <col min="8" max="8" width="17.140625" style="188" bestFit="1" customWidth="1"/>
    <col min="9" max="9" width="48.85546875" style="118" bestFit="1" customWidth="1"/>
    <col min="10" max="10" width="20" style="115" bestFit="1" customWidth="1"/>
    <col min="11" max="11" width="16.85546875" style="115" bestFit="1" customWidth="1"/>
    <col min="12" max="12" width="17.7109375" style="115" bestFit="1" customWidth="1"/>
    <col min="13" max="13" width="17.28515625" style="117" bestFit="1" customWidth="1"/>
    <col min="14" max="14" width="16.28515625" bestFit="1" customWidth="1"/>
    <col min="15" max="15" width="19.5703125" bestFit="1" customWidth="1"/>
    <col min="16" max="16" width="18.140625" bestFit="1" customWidth="1"/>
    <col min="17" max="17" width="20.28515625" bestFit="1" customWidth="1"/>
    <col min="18" max="18" width="20.28515625" customWidth="1"/>
    <col min="19" max="19" width="17.28515625" bestFit="1" customWidth="1"/>
    <col min="20" max="20" width="4.28515625" style="240" customWidth="1"/>
    <col min="21" max="21" width="46" style="25" customWidth="1"/>
    <col min="22" max="22" width="16.140625" style="25" bestFit="1" customWidth="1"/>
    <col min="23" max="24" width="12.140625" style="25" bestFit="1" customWidth="1"/>
    <col min="25" max="25" width="12.85546875" style="25" bestFit="1" customWidth="1"/>
    <col min="26" max="26" width="14.28515625" style="25" bestFit="1" customWidth="1"/>
    <col min="27" max="27" width="15" style="25" bestFit="1" customWidth="1"/>
    <col min="28" max="28" width="14.28515625" style="25" bestFit="1" customWidth="1"/>
    <col min="29" max="29" width="17.42578125" style="25" customWidth="1"/>
    <col min="30" max="30" width="14.28515625" style="25" bestFit="1" customWidth="1"/>
  </cols>
  <sheetData>
    <row r="1" spans="1:30" s="146" customFormat="1" ht="15" customHeight="1">
      <c r="A1" s="227">
        <v>40</v>
      </c>
      <c r="B1" s="227"/>
      <c r="C1" s="227"/>
      <c r="D1" s="227"/>
      <c r="E1" s="227"/>
      <c r="G1" s="171"/>
      <c r="H1" s="187"/>
      <c r="I1" s="228"/>
      <c r="J1" s="231"/>
      <c r="K1" s="232"/>
      <c r="L1" s="232"/>
      <c r="M1" s="232"/>
      <c r="N1" s="232"/>
      <c r="O1" s="232"/>
      <c r="P1" s="232"/>
      <c r="Q1" s="232"/>
      <c r="R1" s="232"/>
      <c r="S1" s="233"/>
      <c r="T1" s="240"/>
      <c r="U1" s="28"/>
      <c r="V1" s="203"/>
      <c r="W1" s="203"/>
      <c r="X1" s="203"/>
      <c r="Y1" s="203"/>
      <c r="Z1" s="203"/>
      <c r="AA1" s="203"/>
      <c r="AB1" s="203"/>
      <c r="AC1" s="203"/>
      <c r="AD1" s="203"/>
    </row>
    <row r="2" spans="1:30" s="146" customFormat="1" ht="15" customHeight="1">
      <c r="A2" s="227"/>
      <c r="B2" s="227"/>
      <c r="C2" s="227"/>
      <c r="D2" s="227"/>
      <c r="E2" s="227"/>
      <c r="G2" s="171"/>
      <c r="H2" s="187"/>
      <c r="I2" s="229"/>
      <c r="J2" s="234"/>
      <c r="K2" s="235"/>
      <c r="L2" s="235"/>
      <c r="M2" s="235"/>
      <c r="N2" s="235"/>
      <c r="O2" s="235"/>
      <c r="P2" s="235"/>
      <c r="Q2" s="235"/>
      <c r="R2" s="235"/>
      <c r="S2" s="236"/>
      <c r="T2" s="240"/>
      <c r="U2" s="28"/>
      <c r="V2" s="203"/>
      <c r="W2" s="203"/>
      <c r="X2" s="203"/>
      <c r="Y2" s="203"/>
      <c r="Z2" s="203"/>
      <c r="AA2" s="203"/>
      <c r="AB2" s="203"/>
      <c r="AC2" s="203"/>
      <c r="AD2" s="203"/>
    </row>
    <row r="3" spans="1:30" s="79" customFormat="1" ht="26.25" customHeight="1">
      <c r="A3" s="241" t="s">
        <v>5</v>
      </c>
      <c r="B3" s="241"/>
      <c r="C3" s="241"/>
      <c r="D3" s="241"/>
      <c r="E3" s="241"/>
      <c r="G3" s="171"/>
      <c r="H3" s="187"/>
      <c r="I3" s="229"/>
      <c r="J3" s="237"/>
      <c r="K3" s="238"/>
      <c r="L3" s="238"/>
      <c r="M3" s="238"/>
      <c r="N3" s="238"/>
      <c r="O3" s="238"/>
      <c r="P3" s="238"/>
      <c r="Q3" s="238"/>
      <c r="R3" s="238"/>
      <c r="S3" s="239"/>
      <c r="T3" s="240"/>
      <c r="U3" s="28"/>
      <c r="V3" s="203"/>
      <c r="W3" s="203"/>
      <c r="X3" s="203"/>
      <c r="Y3" s="203"/>
      <c r="Z3" s="203"/>
      <c r="AA3" s="203"/>
      <c r="AB3" s="203"/>
      <c r="AC3" s="203"/>
      <c r="AD3" s="203"/>
    </row>
    <row r="4" spans="1:30" ht="45">
      <c r="A4" s="52" t="s">
        <v>6</v>
      </c>
      <c r="B4" s="52"/>
      <c r="C4" s="52"/>
      <c r="D4" s="130" t="s">
        <v>52</v>
      </c>
      <c r="E4" s="131" t="s">
        <v>10</v>
      </c>
      <c r="H4" s="187"/>
      <c r="I4" s="230"/>
      <c r="J4" s="120" t="s">
        <v>12</v>
      </c>
      <c r="K4" s="121" t="s">
        <v>13</v>
      </c>
      <c r="L4" s="122" t="s">
        <v>14</v>
      </c>
      <c r="M4" s="120" t="s">
        <v>15</v>
      </c>
      <c r="N4" s="120" t="s">
        <v>16</v>
      </c>
      <c r="O4" s="120" t="s">
        <v>17</v>
      </c>
      <c r="P4" s="120" t="s">
        <v>18</v>
      </c>
      <c r="Q4" s="120" t="s">
        <v>19</v>
      </c>
      <c r="R4" s="120" t="s">
        <v>83</v>
      </c>
      <c r="S4" s="120" t="s">
        <v>20</v>
      </c>
      <c r="U4" s="28"/>
      <c r="V4" s="189"/>
      <c r="W4" s="190"/>
      <c r="X4" s="191"/>
      <c r="Y4" s="189"/>
      <c r="Z4" s="189"/>
      <c r="AA4" s="189"/>
      <c r="AB4" s="189"/>
      <c r="AC4" s="189"/>
      <c r="AD4" s="189"/>
    </row>
    <row r="5" spans="1:30">
      <c r="A5" s="48" t="s">
        <v>21</v>
      </c>
      <c r="B5" s="48"/>
      <c r="C5" s="48"/>
      <c r="D5" s="176">
        <v>3</v>
      </c>
      <c r="E5" s="129">
        <f>(D5/$A$1)</f>
        <v>7.4999999999999997E-2</v>
      </c>
      <c r="H5" s="112"/>
      <c r="I5" s="185" t="s">
        <v>22</v>
      </c>
      <c r="J5" s="124">
        <v>1507</v>
      </c>
      <c r="K5" s="125">
        <v>1507</v>
      </c>
      <c r="L5" s="126">
        <v>1507</v>
      </c>
      <c r="M5" s="152">
        <v>1507</v>
      </c>
      <c r="N5" s="176">
        <v>1507</v>
      </c>
      <c r="O5" s="176">
        <v>1507</v>
      </c>
      <c r="P5" s="176">
        <v>1507</v>
      </c>
      <c r="Q5" s="176">
        <v>1507</v>
      </c>
      <c r="R5" s="211">
        <v>1507</v>
      </c>
      <c r="S5" s="176">
        <v>1507</v>
      </c>
      <c r="U5" s="192"/>
      <c r="V5" s="193"/>
      <c r="W5" s="193"/>
      <c r="X5" s="193"/>
      <c r="Y5" s="193"/>
      <c r="Z5" s="193"/>
      <c r="AA5" s="193"/>
      <c r="AB5" s="193"/>
      <c r="AC5" s="193"/>
      <c r="AD5" s="193"/>
    </row>
    <row r="6" spans="1:30">
      <c r="A6" s="48" t="s">
        <v>23</v>
      </c>
      <c r="B6" s="48"/>
      <c r="C6" s="48"/>
      <c r="D6" s="176">
        <v>3</v>
      </c>
      <c r="E6" s="129">
        <f t="shared" ref="E6:E8" si="0">(D6/$A$1)</f>
        <v>7.4999999999999997E-2</v>
      </c>
      <c r="H6" s="112"/>
      <c r="I6" s="185" t="s">
        <v>24</v>
      </c>
      <c r="J6" s="127">
        <v>0.08</v>
      </c>
      <c r="K6" s="127">
        <v>0.25800000000000001</v>
      </c>
      <c r="L6" s="127">
        <v>8.1000000000000003E-2</v>
      </c>
      <c r="M6" s="127">
        <v>0.29299999999999998</v>
      </c>
      <c r="N6" s="127">
        <v>0.10299999999999999</v>
      </c>
      <c r="O6" s="127">
        <v>0.28000000000000003</v>
      </c>
      <c r="P6" s="127">
        <v>0.38</v>
      </c>
      <c r="Q6" s="127">
        <v>0.16700000000000001</v>
      </c>
      <c r="R6" s="127">
        <v>8.0199999999999994E-2</v>
      </c>
      <c r="S6" s="127">
        <v>1</v>
      </c>
      <c r="U6" s="192"/>
      <c r="V6" s="194"/>
      <c r="W6" s="194"/>
      <c r="X6" s="194"/>
      <c r="Y6" s="194"/>
      <c r="Z6" s="194"/>
      <c r="AA6" s="194"/>
      <c r="AB6" s="194"/>
      <c r="AC6" s="194"/>
      <c r="AD6" s="194"/>
    </row>
    <row r="7" spans="1:30">
      <c r="A7" s="48" t="s">
        <v>25</v>
      </c>
      <c r="B7" s="48"/>
      <c r="C7" s="48"/>
      <c r="D7" s="176">
        <v>5</v>
      </c>
      <c r="E7" s="129">
        <f t="shared" si="0"/>
        <v>0.125</v>
      </c>
      <c r="H7" s="112"/>
      <c r="I7" s="185" t="s">
        <v>26</v>
      </c>
      <c r="J7" s="128">
        <v>0.8</v>
      </c>
      <c r="K7" s="128">
        <v>0.5</v>
      </c>
      <c r="L7" s="128">
        <v>0.49</v>
      </c>
      <c r="M7" s="128">
        <v>0.45</v>
      </c>
      <c r="N7" s="128">
        <v>0.15</v>
      </c>
      <c r="O7" s="128">
        <v>0.45</v>
      </c>
      <c r="P7" s="128">
        <v>0.5</v>
      </c>
      <c r="Q7" s="128">
        <v>1</v>
      </c>
      <c r="R7" s="128">
        <v>1</v>
      </c>
      <c r="S7" s="128">
        <v>0.22</v>
      </c>
      <c r="U7" s="192"/>
      <c r="V7" s="194"/>
      <c r="W7" s="194"/>
      <c r="X7" s="194"/>
      <c r="Y7" s="194"/>
      <c r="Z7" s="194"/>
      <c r="AA7" s="194"/>
      <c r="AB7" s="194"/>
      <c r="AC7" s="194"/>
      <c r="AD7" s="194"/>
    </row>
    <row r="8" spans="1:30" ht="30">
      <c r="A8" s="48" t="s">
        <v>15</v>
      </c>
      <c r="B8" s="48"/>
      <c r="C8" s="48"/>
      <c r="D8" s="176">
        <v>5</v>
      </c>
      <c r="E8" s="129">
        <f t="shared" si="0"/>
        <v>0.125</v>
      </c>
      <c r="H8" s="112"/>
      <c r="I8" s="185" t="s">
        <v>27</v>
      </c>
      <c r="J8" s="129">
        <f>E5</f>
        <v>7.4999999999999997E-2</v>
      </c>
      <c r="K8" s="129">
        <f>E6</f>
        <v>7.4999999999999997E-2</v>
      </c>
      <c r="L8" s="129">
        <f>E7</f>
        <v>0.125</v>
      </c>
      <c r="M8" s="129">
        <f>E8</f>
        <v>0.125</v>
      </c>
      <c r="N8" s="153">
        <f>E12</f>
        <v>0.05</v>
      </c>
      <c r="O8" s="153">
        <f>E13</f>
        <v>0.125</v>
      </c>
      <c r="P8" s="153">
        <f>E14</f>
        <v>0.05</v>
      </c>
      <c r="Q8" s="153">
        <f>E15</f>
        <v>0.25</v>
      </c>
      <c r="R8" s="153">
        <v>0</v>
      </c>
      <c r="S8" s="153">
        <f>E17</f>
        <v>0.27500000000000002</v>
      </c>
      <c r="U8" s="192"/>
      <c r="V8" s="195"/>
      <c r="W8" s="195"/>
      <c r="X8" s="195"/>
      <c r="Y8" s="195"/>
      <c r="Z8" s="195"/>
      <c r="AA8" s="195"/>
      <c r="AB8" s="195"/>
      <c r="AC8" s="195"/>
      <c r="AD8" s="195"/>
    </row>
    <row r="9" spans="1:30">
      <c r="A9" s="242" t="s">
        <v>28</v>
      </c>
      <c r="B9" s="242"/>
      <c r="C9" s="242"/>
      <c r="D9" s="242"/>
      <c r="E9" s="242"/>
      <c r="I9" s="185" t="s">
        <v>29</v>
      </c>
      <c r="J9" s="164">
        <f t="shared" ref="J9:S9" si="1">J5*J6*J7*J8</f>
        <v>7.2336</v>
      </c>
      <c r="K9" s="164">
        <f t="shared" si="1"/>
        <v>14.580224999999999</v>
      </c>
      <c r="L9" s="165">
        <f t="shared" si="1"/>
        <v>7.4766037500000007</v>
      </c>
      <c r="M9" s="166">
        <f t="shared" si="1"/>
        <v>24.837243749999999</v>
      </c>
      <c r="N9" s="164">
        <f t="shared" si="1"/>
        <v>1.1641575</v>
      </c>
      <c r="O9" s="164">
        <f t="shared" si="1"/>
        <v>23.735250000000004</v>
      </c>
      <c r="P9" s="164">
        <f t="shared" si="1"/>
        <v>14.3165</v>
      </c>
      <c r="Q9" s="164">
        <f t="shared" si="1"/>
        <v>62.917250000000003</v>
      </c>
      <c r="R9" s="164">
        <f>R5*R6*R7*R8</f>
        <v>0</v>
      </c>
      <c r="S9" s="164">
        <f t="shared" si="1"/>
        <v>91.173500000000018</v>
      </c>
      <c r="U9" s="192"/>
      <c r="V9" s="196"/>
      <c r="W9" s="196"/>
      <c r="X9" s="197"/>
      <c r="Y9" s="196"/>
      <c r="Z9" s="196"/>
      <c r="AA9" s="196"/>
      <c r="AB9" s="196"/>
      <c r="AC9" s="196"/>
      <c r="AD9" s="196"/>
    </row>
    <row r="10" spans="1:30">
      <c r="A10" s="242"/>
      <c r="B10" s="242"/>
      <c r="C10" s="242"/>
      <c r="D10" s="242"/>
      <c r="E10" s="242"/>
      <c r="I10" s="185" t="s">
        <v>30</v>
      </c>
      <c r="J10" s="154">
        <f>'Colorectal Benefit'!$F$16</f>
        <v>17293.082565880046</v>
      </c>
      <c r="K10" s="154">
        <f>'Heart Disease Benefit'!$G$16</f>
        <v>5775.2181929014514</v>
      </c>
      <c r="L10" s="154">
        <f>'Stroke Benefits'!$G$18</f>
        <v>26003.011937672796</v>
      </c>
      <c r="M10" s="154">
        <f>'Hypertension Benefit'!$G$29</f>
        <v>1700.9371327253966</v>
      </c>
      <c r="N10" s="154">
        <f>osteoporosis!$C$35</f>
        <v>85670.525065513924</v>
      </c>
      <c r="O10" s="154">
        <f>'Type 2 Diabeties'!$C$31</f>
        <v>50777.185201500433</v>
      </c>
      <c r="P10" s="154">
        <f>Obesity!$C$45</f>
        <v>30080.075037511851</v>
      </c>
      <c r="Q10" s="154">
        <f>FIGURES!$F$14</f>
        <v>31322.097401202354</v>
      </c>
      <c r="R10" s="154">
        <f>FIGURES!$F$17</f>
        <v>21799.185582999999</v>
      </c>
      <c r="S10" s="154">
        <f>'Data &amp; PV'!$G$12</f>
        <v>2539.229198</v>
      </c>
      <c r="U10" s="192"/>
      <c r="V10" s="198"/>
      <c r="W10" s="198"/>
      <c r="X10" s="198"/>
      <c r="Y10" s="198"/>
      <c r="Z10" s="198"/>
      <c r="AA10" s="198"/>
      <c r="AB10" s="198"/>
      <c r="AC10" s="198"/>
      <c r="AD10" s="198"/>
    </row>
    <row r="11" spans="1:30">
      <c r="A11" s="242"/>
      <c r="B11" s="242"/>
      <c r="C11" s="242"/>
      <c r="D11" s="242"/>
      <c r="E11" s="242"/>
      <c r="I11" s="256" t="s">
        <v>31</v>
      </c>
      <c r="J11" s="243">
        <f t="shared" ref="J11:S11" si="2">J9*J10</f>
        <v>125091.2420485499</v>
      </c>
      <c r="K11" s="243">
        <f t="shared" si="2"/>
        <v>84203.980676596562</v>
      </c>
      <c r="L11" s="245">
        <f t="shared" si="2"/>
        <v>194414.21656449922</v>
      </c>
      <c r="M11" s="247">
        <f t="shared" si="2"/>
        <v>42246.590168926778</v>
      </c>
      <c r="N11" s="243">
        <f t="shared" si="2"/>
        <v>99733.98428395603</v>
      </c>
      <c r="O11" s="243">
        <f t="shared" si="2"/>
        <v>1205209.1850539134</v>
      </c>
      <c r="P11" s="243">
        <f t="shared" si="2"/>
        <v>430641.39427453838</v>
      </c>
      <c r="Q11" s="243">
        <f t="shared" si="2"/>
        <v>1970700.232715799</v>
      </c>
      <c r="R11" s="225">
        <f>R9*R10</f>
        <v>0</v>
      </c>
      <c r="S11" s="243">
        <f t="shared" si="2"/>
        <v>231510.41328385303</v>
      </c>
      <c r="U11" s="28"/>
      <c r="V11" s="201"/>
      <c r="W11" s="201"/>
      <c r="X11" s="201"/>
      <c r="Y11" s="201"/>
      <c r="Z11" s="201"/>
      <c r="AA11" s="201"/>
      <c r="AB11" s="201"/>
      <c r="AC11" s="201"/>
      <c r="AD11" s="201"/>
    </row>
    <row r="12" spans="1:30">
      <c r="A12" s="48" t="s">
        <v>16</v>
      </c>
      <c r="B12" s="48"/>
      <c r="C12" s="48"/>
      <c r="D12" s="176">
        <v>2</v>
      </c>
      <c r="E12" s="129">
        <f>(D12/$A$1)</f>
        <v>0.05</v>
      </c>
      <c r="H12" s="112"/>
      <c r="I12" s="256"/>
      <c r="J12" s="244"/>
      <c r="K12" s="244"/>
      <c r="L12" s="246"/>
      <c r="M12" s="248"/>
      <c r="N12" s="242"/>
      <c r="O12" s="242"/>
      <c r="P12" s="242"/>
      <c r="Q12" s="242"/>
      <c r="R12" s="226"/>
      <c r="S12" s="242"/>
      <c r="U12" s="28"/>
      <c r="V12" s="202"/>
      <c r="W12" s="202"/>
      <c r="X12" s="202"/>
      <c r="Y12" s="202"/>
      <c r="Z12" s="202"/>
      <c r="AA12" s="202"/>
      <c r="AB12" s="202"/>
      <c r="AC12" s="202"/>
      <c r="AD12" s="202"/>
    </row>
    <row r="13" spans="1:30" s="135" customFormat="1">
      <c r="A13" s="48" t="s">
        <v>32</v>
      </c>
      <c r="B13" s="48"/>
      <c r="C13" s="48"/>
      <c r="D13" s="176">
        <v>5</v>
      </c>
      <c r="E13" s="129">
        <f t="shared" ref="E13:E15" si="3">(D13/$A$1)</f>
        <v>0.125</v>
      </c>
      <c r="F13" s="134"/>
      <c r="G13" s="171"/>
      <c r="H13" s="112"/>
      <c r="I13" s="186" t="s">
        <v>33</v>
      </c>
      <c r="J13" s="155">
        <f>SUM(J11:S12)</f>
        <v>4383751.2390706325</v>
      </c>
      <c r="K13" s="155"/>
      <c r="L13" s="155"/>
      <c r="M13" s="155"/>
      <c r="N13" s="155"/>
      <c r="O13" s="155"/>
      <c r="P13" s="155"/>
      <c r="Q13" s="155"/>
      <c r="R13" s="155"/>
      <c r="S13" s="174"/>
      <c r="T13" s="240"/>
      <c r="U13" s="189"/>
      <c r="V13" s="199"/>
      <c r="W13" s="199"/>
      <c r="X13" s="199"/>
      <c r="Y13" s="199"/>
      <c r="Z13" s="199"/>
      <c r="AA13" s="199"/>
      <c r="AB13" s="199"/>
      <c r="AC13" s="199"/>
      <c r="AD13" s="199"/>
    </row>
    <row r="14" spans="1:30">
      <c r="A14" s="48" t="s">
        <v>18</v>
      </c>
      <c r="B14" s="48"/>
      <c r="C14" s="48"/>
      <c r="D14" s="176">
        <v>2</v>
      </c>
      <c r="E14" s="129">
        <f t="shared" si="3"/>
        <v>0.05</v>
      </c>
      <c r="H14" s="112"/>
      <c r="I14" s="116"/>
      <c r="J14" s="112"/>
      <c r="K14" s="113"/>
      <c r="L14" s="114"/>
      <c r="M14" s="111"/>
    </row>
    <row r="15" spans="1:30">
      <c r="A15" s="48" t="s">
        <v>34</v>
      </c>
      <c r="B15" s="48"/>
      <c r="C15" s="48"/>
      <c r="D15" s="176">
        <v>10</v>
      </c>
      <c r="E15" s="129">
        <f t="shared" si="3"/>
        <v>0.25</v>
      </c>
      <c r="H15" s="112"/>
      <c r="I15" s="116"/>
      <c r="J15" s="112"/>
      <c r="K15" s="113"/>
      <c r="L15" s="114"/>
      <c r="M15" s="111"/>
      <c r="N15" s="79"/>
    </row>
    <row r="16" spans="1:30" ht="22.5" customHeight="1">
      <c r="A16" s="249" t="s">
        <v>35</v>
      </c>
      <c r="B16" s="249"/>
      <c r="C16" s="249"/>
      <c r="D16" s="249"/>
      <c r="E16" s="249"/>
      <c r="I16" s="228"/>
      <c r="J16" s="231"/>
      <c r="K16" s="232"/>
      <c r="L16" s="232"/>
      <c r="M16" s="232"/>
      <c r="N16" s="232"/>
      <c r="O16" s="232"/>
      <c r="P16" s="232"/>
      <c r="Q16" s="232"/>
      <c r="R16" s="232"/>
      <c r="S16" s="233"/>
      <c r="U16" s="28"/>
      <c r="V16" s="203"/>
      <c r="W16" s="203"/>
      <c r="X16" s="203"/>
      <c r="Y16" s="203"/>
      <c r="Z16" s="203"/>
      <c r="AA16" s="203"/>
      <c r="AB16" s="203"/>
      <c r="AC16" s="203"/>
      <c r="AD16" s="203"/>
    </row>
    <row r="17" spans="1:30" ht="15" customHeight="1">
      <c r="A17" s="48" t="s">
        <v>20</v>
      </c>
      <c r="B17" s="48">
        <v>12</v>
      </c>
      <c r="C17" s="48">
        <v>17</v>
      </c>
      <c r="D17" s="176">
        <v>11</v>
      </c>
      <c r="E17" s="129">
        <f>(D17/$A$1)</f>
        <v>0.27500000000000002</v>
      </c>
      <c r="H17" s="112"/>
      <c r="I17" s="229"/>
      <c r="J17" s="234"/>
      <c r="K17" s="235"/>
      <c r="L17" s="235"/>
      <c r="M17" s="235"/>
      <c r="N17" s="235"/>
      <c r="O17" s="235"/>
      <c r="P17" s="235"/>
      <c r="Q17" s="235"/>
      <c r="R17" s="235"/>
      <c r="S17" s="236"/>
      <c r="U17" s="28"/>
      <c r="V17" s="203"/>
      <c r="W17" s="203"/>
      <c r="X17" s="203"/>
      <c r="Y17" s="203"/>
      <c r="Z17" s="203"/>
      <c r="AA17" s="203"/>
      <c r="AB17" s="203"/>
      <c r="AC17" s="203"/>
      <c r="AD17" s="203"/>
    </row>
    <row r="18" spans="1:30" s="79" customFormat="1" ht="15" customHeight="1">
      <c r="A18" s="173"/>
      <c r="B18" s="173"/>
      <c r="C18" s="219"/>
      <c r="D18" s="221">
        <v>2</v>
      </c>
      <c r="E18" s="222">
        <f>(D18/$A$1)</f>
        <v>0.05</v>
      </c>
      <c r="G18" s="171"/>
      <c r="H18" s="188"/>
      <c r="I18" s="229"/>
      <c r="J18" s="237"/>
      <c r="K18" s="238"/>
      <c r="L18" s="238"/>
      <c r="M18" s="238"/>
      <c r="N18" s="238"/>
      <c r="O18" s="238"/>
      <c r="P18" s="238"/>
      <c r="Q18" s="238"/>
      <c r="R18" s="238"/>
      <c r="S18" s="239"/>
      <c r="T18" s="240"/>
      <c r="U18" s="28"/>
      <c r="V18" s="203"/>
      <c r="W18" s="203"/>
      <c r="X18" s="203"/>
      <c r="Y18" s="203"/>
      <c r="Z18" s="203"/>
      <c r="AA18" s="203"/>
      <c r="AB18" s="203"/>
      <c r="AC18" s="203"/>
      <c r="AD18" s="203"/>
    </row>
    <row r="19" spans="1:30" s="79" customFormat="1" ht="30" customHeight="1">
      <c r="C19" s="220"/>
      <c r="G19" s="171"/>
      <c r="H19" s="188"/>
      <c r="I19" s="230"/>
      <c r="J19" s="120" t="s">
        <v>12</v>
      </c>
      <c r="K19" s="121" t="s">
        <v>13</v>
      </c>
      <c r="L19" s="122" t="s">
        <v>14</v>
      </c>
      <c r="M19" s="120" t="s">
        <v>15</v>
      </c>
      <c r="N19" s="120" t="s">
        <v>16</v>
      </c>
      <c r="O19" s="120" t="s">
        <v>17</v>
      </c>
      <c r="P19" s="120" t="s">
        <v>18</v>
      </c>
      <c r="Q19" s="120" t="s">
        <v>19</v>
      </c>
      <c r="R19" s="120"/>
      <c r="S19" s="120" t="s">
        <v>20</v>
      </c>
      <c r="T19" s="240"/>
      <c r="U19" s="28"/>
      <c r="V19" s="189"/>
      <c r="W19" s="190"/>
      <c r="X19" s="191"/>
      <c r="Y19" s="189"/>
      <c r="Z19" s="189"/>
      <c r="AA19" s="189"/>
      <c r="AB19" s="189"/>
      <c r="AC19" s="189"/>
      <c r="AD19" s="189"/>
    </row>
    <row r="20" spans="1:30" s="79" customFormat="1" ht="30" customHeight="1">
      <c r="C20" s="220"/>
      <c r="G20" s="171"/>
      <c r="H20" s="188"/>
      <c r="I20" s="185" t="s">
        <v>22</v>
      </c>
      <c r="J20" s="124">
        <v>1507</v>
      </c>
      <c r="K20" s="125">
        <v>1507</v>
      </c>
      <c r="L20" s="126">
        <v>1507</v>
      </c>
      <c r="M20" s="152">
        <v>1507</v>
      </c>
      <c r="N20" s="183">
        <v>1507</v>
      </c>
      <c r="O20" s="183">
        <v>1507</v>
      </c>
      <c r="P20" s="183">
        <v>1507</v>
      </c>
      <c r="Q20" s="183">
        <v>1507</v>
      </c>
      <c r="R20" s="211"/>
      <c r="S20" s="183">
        <v>1507</v>
      </c>
      <c r="T20" s="240"/>
      <c r="U20" s="192"/>
      <c r="V20" s="193"/>
      <c r="W20" s="193"/>
      <c r="X20" s="193"/>
      <c r="Y20" s="193"/>
      <c r="Z20" s="193"/>
      <c r="AA20" s="193"/>
      <c r="AB20" s="193"/>
      <c r="AC20" s="193"/>
      <c r="AD20" s="193"/>
    </row>
    <row r="21" spans="1:30" s="79" customFormat="1" ht="30" customHeight="1">
      <c r="C21" s="220"/>
      <c r="G21" s="171"/>
      <c r="H21" s="188"/>
      <c r="I21" s="185" t="s">
        <v>24</v>
      </c>
      <c r="J21" s="127">
        <v>0.08</v>
      </c>
      <c r="K21" s="127">
        <v>0.25800000000000001</v>
      </c>
      <c r="L21" s="127">
        <v>8.1000000000000003E-2</v>
      </c>
      <c r="M21" s="127">
        <v>0.29299999999999998</v>
      </c>
      <c r="N21" s="127">
        <v>0.10299999999999999</v>
      </c>
      <c r="O21" s="127">
        <v>0.28000000000000003</v>
      </c>
      <c r="P21" s="127">
        <v>0.38</v>
      </c>
      <c r="Q21" s="127">
        <v>0.16700000000000001</v>
      </c>
      <c r="R21" s="127"/>
      <c r="S21" s="127">
        <v>1</v>
      </c>
      <c r="T21" s="240"/>
      <c r="U21" s="192"/>
      <c r="V21" s="194"/>
      <c r="W21" s="194"/>
      <c r="X21" s="194"/>
      <c r="Y21" s="194"/>
      <c r="Z21" s="194"/>
      <c r="AA21" s="194"/>
      <c r="AB21" s="194"/>
      <c r="AC21" s="194"/>
      <c r="AD21" s="194"/>
    </row>
    <row r="22" spans="1:30" s="79" customFormat="1" ht="30" customHeight="1">
      <c r="C22" s="220"/>
      <c r="G22" s="171"/>
      <c r="H22" s="188"/>
      <c r="I22" s="185" t="s">
        <v>26</v>
      </c>
      <c r="J22" s="128">
        <v>0.8</v>
      </c>
      <c r="K22" s="128">
        <v>0.5</v>
      </c>
      <c r="L22" s="128">
        <v>0.49</v>
      </c>
      <c r="M22" s="128">
        <v>0.45</v>
      </c>
      <c r="N22" s="128">
        <v>0.15</v>
      </c>
      <c r="O22" s="128">
        <v>0.45</v>
      </c>
      <c r="P22" s="128">
        <v>0.5</v>
      </c>
      <c r="Q22" s="128">
        <v>1</v>
      </c>
      <c r="R22" s="128"/>
      <c r="S22" s="128">
        <v>0.22</v>
      </c>
      <c r="T22" s="240"/>
      <c r="U22" s="192"/>
      <c r="V22" s="194"/>
      <c r="W22" s="194"/>
      <c r="X22" s="194"/>
      <c r="Y22" s="194"/>
      <c r="Z22" s="194"/>
      <c r="AA22" s="194"/>
      <c r="AB22" s="194"/>
      <c r="AC22" s="194"/>
      <c r="AD22" s="194"/>
    </row>
    <row r="23" spans="1:30" s="79" customFormat="1" ht="30" customHeight="1">
      <c r="C23" s="220"/>
      <c r="G23" s="171"/>
      <c r="H23" s="188"/>
      <c r="I23" s="185" t="s">
        <v>27</v>
      </c>
      <c r="J23" s="129">
        <f t="shared" ref="J23:S24" si="4">J8</f>
        <v>7.4999999999999997E-2</v>
      </c>
      <c r="K23" s="129">
        <f t="shared" si="4"/>
        <v>7.4999999999999997E-2</v>
      </c>
      <c r="L23" s="129">
        <f t="shared" si="4"/>
        <v>0.125</v>
      </c>
      <c r="M23" s="129">
        <f t="shared" si="4"/>
        <v>0.125</v>
      </c>
      <c r="N23" s="153">
        <f t="shared" si="4"/>
        <v>0.05</v>
      </c>
      <c r="O23" s="153">
        <f t="shared" si="4"/>
        <v>0.125</v>
      </c>
      <c r="P23" s="153">
        <f t="shared" si="4"/>
        <v>0.05</v>
      </c>
      <c r="Q23" s="153">
        <f t="shared" si="4"/>
        <v>0.25</v>
      </c>
      <c r="R23" s="153"/>
      <c r="S23" s="153">
        <f t="shared" si="4"/>
        <v>0.27500000000000002</v>
      </c>
      <c r="T23" s="240"/>
      <c r="U23" s="192"/>
      <c r="V23" s="195"/>
      <c r="W23" s="195"/>
      <c r="X23" s="195"/>
      <c r="Y23" s="195"/>
      <c r="Z23" s="195"/>
      <c r="AA23" s="195"/>
      <c r="AB23" s="195"/>
      <c r="AC23" s="195"/>
      <c r="AD23" s="195"/>
    </row>
    <row r="24" spans="1:30" s="79" customFormat="1" ht="30" customHeight="1">
      <c r="C24" s="220"/>
      <c r="G24" s="171"/>
      <c r="H24" s="188"/>
      <c r="I24" s="185" t="s">
        <v>29</v>
      </c>
      <c r="J24" s="164">
        <f t="shared" si="4"/>
        <v>7.2336</v>
      </c>
      <c r="K24" s="164">
        <f t="shared" si="4"/>
        <v>14.580224999999999</v>
      </c>
      <c r="L24" s="165">
        <f t="shared" si="4"/>
        <v>7.4766037500000007</v>
      </c>
      <c r="M24" s="166">
        <f t="shared" si="4"/>
        <v>24.837243749999999</v>
      </c>
      <c r="N24" s="164">
        <f t="shared" si="4"/>
        <v>1.1641575</v>
      </c>
      <c r="O24" s="164">
        <f t="shared" si="4"/>
        <v>23.735250000000004</v>
      </c>
      <c r="P24" s="164">
        <f t="shared" si="4"/>
        <v>14.3165</v>
      </c>
      <c r="Q24" s="164">
        <f t="shared" si="4"/>
        <v>62.917250000000003</v>
      </c>
      <c r="R24" s="164"/>
      <c r="S24" s="164">
        <f t="shared" si="4"/>
        <v>91.173500000000018</v>
      </c>
      <c r="T24" s="240"/>
      <c r="U24" s="192"/>
      <c r="V24" s="196"/>
      <c r="W24" s="196"/>
      <c r="X24" s="197"/>
      <c r="Y24" s="196"/>
      <c r="Z24" s="196"/>
      <c r="AA24" s="196"/>
      <c r="AB24" s="196"/>
      <c r="AC24" s="196"/>
      <c r="AD24" s="196"/>
    </row>
    <row r="25" spans="1:30" s="79" customFormat="1" ht="30" customHeight="1">
      <c r="C25" s="220"/>
      <c r="G25" s="171"/>
      <c r="H25" s="188"/>
      <c r="I25" s="185" t="s">
        <v>39</v>
      </c>
      <c r="J25" s="155">
        <f>'Colorectal Benefit'!$R$15</f>
        <v>1441.3781090124412</v>
      </c>
      <c r="K25" s="155">
        <f>'Heart Disease Benefit'!$S$16</f>
        <v>1332.6418077395683</v>
      </c>
      <c r="L25" s="155">
        <f>'Stroke Benefits'!$U$18</f>
        <v>4265.2771383769777</v>
      </c>
      <c r="M25" s="155">
        <f>'Hypertension Benefit'!$S$29</f>
        <v>4903.9041707009201</v>
      </c>
      <c r="N25" s="155">
        <f>osteoporosis!$M$22</f>
        <v>2333.4852399999468</v>
      </c>
      <c r="O25" s="155">
        <f>'Type 2 Diabeties'!$Q$18</f>
        <v>2349.6673112603353</v>
      </c>
      <c r="P25" s="155">
        <f>Obesity!$N$32</f>
        <v>2679.2700404212778</v>
      </c>
      <c r="Q25" s="155">
        <f>FIGURES!$G$14</f>
        <v>1296.1370713710346</v>
      </c>
      <c r="R25" s="155"/>
      <c r="S25" s="174">
        <v>0</v>
      </c>
      <c r="T25" s="240"/>
      <c r="U25" s="192"/>
      <c r="V25" s="200"/>
      <c r="W25" s="200"/>
      <c r="X25" s="200"/>
      <c r="Y25" s="200"/>
      <c r="Z25" s="200"/>
      <c r="AA25" s="200"/>
      <c r="AB25" s="200"/>
      <c r="AC25" s="200"/>
      <c r="AD25" s="184"/>
    </row>
    <row r="26" spans="1:30" s="79" customFormat="1">
      <c r="C26" s="220"/>
      <c r="G26" s="171"/>
      <c r="H26" s="188"/>
      <c r="I26" s="256" t="s">
        <v>40</v>
      </c>
      <c r="J26" s="225">
        <f t="shared" ref="J26:S26" si="5">J24*J25</f>
        <v>10426.352689352394</v>
      </c>
      <c r="K26" s="225">
        <f t="shared" si="5"/>
        <v>19430.217401249647</v>
      </c>
      <c r="L26" s="257">
        <f t="shared" si="5"/>
        <v>31889.787047578582</v>
      </c>
      <c r="M26" s="259">
        <f t="shared" si="5"/>
        <v>121799.46321434036</v>
      </c>
      <c r="N26" s="225">
        <f t="shared" si="5"/>
        <v>2716.544343285238</v>
      </c>
      <c r="O26" s="225">
        <f t="shared" si="5"/>
        <v>55769.941049591886</v>
      </c>
      <c r="P26" s="225">
        <f t="shared" si="5"/>
        <v>38357.769533691222</v>
      </c>
      <c r="Q26" s="225">
        <f t="shared" si="5"/>
        <v>81549.380153719234</v>
      </c>
      <c r="R26" s="209"/>
      <c r="S26" s="225">
        <f t="shared" si="5"/>
        <v>0</v>
      </c>
      <c r="T26" s="240"/>
      <c r="U26" s="28"/>
      <c r="V26" s="201"/>
      <c r="W26" s="201"/>
      <c r="X26" s="201"/>
      <c r="Y26" s="201"/>
      <c r="Z26" s="201"/>
      <c r="AA26" s="201"/>
      <c r="AB26" s="201"/>
      <c r="AC26" s="201"/>
      <c r="AD26" s="201"/>
    </row>
    <row r="27" spans="1:30" s="79" customFormat="1">
      <c r="G27" s="171"/>
      <c r="H27" s="188"/>
      <c r="I27" s="256"/>
      <c r="J27" s="226"/>
      <c r="K27" s="226"/>
      <c r="L27" s="258"/>
      <c r="M27" s="260"/>
      <c r="N27" s="226"/>
      <c r="O27" s="226"/>
      <c r="P27" s="226"/>
      <c r="Q27" s="226"/>
      <c r="R27" s="210"/>
      <c r="S27" s="226"/>
      <c r="T27" s="240"/>
      <c r="U27" s="28"/>
      <c r="V27" s="202"/>
      <c r="W27" s="202"/>
      <c r="X27" s="202"/>
      <c r="Y27" s="202"/>
      <c r="Z27" s="202"/>
      <c r="AA27" s="202"/>
      <c r="AB27" s="202"/>
      <c r="AC27" s="202"/>
      <c r="AD27" s="202"/>
    </row>
    <row r="28" spans="1:30" s="79" customFormat="1">
      <c r="G28" s="171"/>
      <c r="H28" s="188"/>
      <c r="I28" s="186" t="s">
        <v>41</v>
      </c>
      <c r="J28" s="155">
        <f>SUM(J26:S27)</f>
        <v>361939.45543280855</v>
      </c>
      <c r="K28" s="155"/>
      <c r="L28" s="155"/>
      <c r="M28" s="155"/>
      <c r="N28" s="155"/>
      <c r="O28" s="155"/>
      <c r="P28" s="155"/>
      <c r="Q28" s="155"/>
      <c r="R28" s="155"/>
      <c r="S28" s="174"/>
      <c r="T28" s="240"/>
      <c r="U28" s="189"/>
      <c r="V28" s="199"/>
      <c r="W28" s="199"/>
      <c r="X28" s="199"/>
      <c r="Y28" s="199"/>
      <c r="Z28" s="199"/>
      <c r="AA28" s="199"/>
      <c r="AB28" s="199"/>
      <c r="AC28" s="199"/>
      <c r="AD28" s="199"/>
    </row>
    <row r="29" spans="1:30" s="79" customFormat="1">
      <c r="G29" s="171"/>
      <c r="H29" s="188"/>
      <c r="I29" s="145"/>
      <c r="J29" s="111"/>
      <c r="K29" s="111"/>
      <c r="L29" s="111"/>
      <c r="M29" s="111"/>
      <c r="T29" s="240"/>
      <c r="U29" s="25"/>
      <c r="V29" s="25"/>
      <c r="W29" s="25"/>
      <c r="X29" s="25"/>
      <c r="Y29" s="25"/>
      <c r="Z29" s="25"/>
      <c r="AA29" s="25"/>
      <c r="AB29" s="25"/>
      <c r="AC29" s="25"/>
      <c r="AD29" s="25"/>
    </row>
    <row r="30" spans="1:30" s="79" customFormat="1">
      <c r="G30" s="171"/>
      <c r="H30" s="188"/>
      <c r="I30" s="145"/>
      <c r="J30" s="111"/>
      <c r="K30" s="111"/>
      <c r="L30" s="111"/>
      <c r="M30" s="111"/>
      <c r="T30" s="240"/>
      <c r="U30" s="25"/>
      <c r="V30" s="25"/>
      <c r="W30" s="25"/>
      <c r="X30" s="25"/>
      <c r="Y30" s="25"/>
      <c r="Z30" s="25"/>
      <c r="AA30" s="25"/>
      <c r="AB30" s="25"/>
      <c r="AC30" s="25"/>
      <c r="AD30" s="25"/>
    </row>
    <row r="31" spans="1:30" s="79" customFormat="1">
      <c r="G31" s="171"/>
      <c r="H31" s="188"/>
      <c r="I31" s="145"/>
      <c r="J31" s="161">
        <f t="shared" ref="J31:S31" si="6">J11+J26</f>
        <v>135517.59473790228</v>
      </c>
      <c r="K31" s="161">
        <f t="shared" si="6"/>
        <v>103634.1980778462</v>
      </c>
      <c r="L31" s="161">
        <f t="shared" si="6"/>
        <v>226304.00361207779</v>
      </c>
      <c r="M31" s="161">
        <f t="shared" si="6"/>
        <v>164046.05338326714</v>
      </c>
      <c r="N31" s="161">
        <f t="shared" si="6"/>
        <v>102450.52862724126</v>
      </c>
      <c r="O31" s="161">
        <f t="shared" si="6"/>
        <v>1260979.1261035053</v>
      </c>
      <c r="P31" s="161">
        <f t="shared" si="6"/>
        <v>468999.16380822961</v>
      </c>
      <c r="Q31" s="161">
        <f t="shared" si="6"/>
        <v>2052249.6128695183</v>
      </c>
      <c r="R31" s="161">
        <f t="shared" si="6"/>
        <v>0</v>
      </c>
      <c r="S31" s="161">
        <f t="shared" si="6"/>
        <v>231510.41328385303</v>
      </c>
      <c r="T31" s="240"/>
      <c r="U31" s="25"/>
      <c r="V31" s="25"/>
      <c r="W31" s="25"/>
      <c r="X31" s="25"/>
      <c r="Y31" s="25"/>
      <c r="Z31" s="25"/>
      <c r="AA31" s="25"/>
      <c r="AB31" s="25"/>
      <c r="AC31" s="25"/>
      <c r="AD31" s="25"/>
    </row>
    <row r="32" spans="1:30" s="79" customFormat="1">
      <c r="G32" s="171"/>
      <c r="H32" s="188"/>
      <c r="I32" s="145"/>
      <c r="J32" s="111"/>
      <c r="K32" s="111"/>
      <c r="L32" s="111"/>
      <c r="M32" s="111"/>
      <c r="T32" s="240"/>
      <c r="U32" s="25"/>
      <c r="V32" s="25"/>
      <c r="W32" s="25"/>
      <c r="X32" s="25"/>
      <c r="Y32" s="25"/>
      <c r="Z32" s="25"/>
      <c r="AA32" s="25"/>
      <c r="AB32" s="25"/>
      <c r="AC32" s="25"/>
      <c r="AD32" s="25"/>
    </row>
    <row r="33" spans="4:30" s="79" customFormat="1">
      <c r="G33" s="171"/>
      <c r="H33" s="188"/>
      <c r="I33" s="145"/>
      <c r="J33" s="111" t="s">
        <v>3</v>
      </c>
      <c r="K33" s="111"/>
      <c r="L33" s="111"/>
      <c r="M33" s="111"/>
      <c r="O33" s="161"/>
      <c r="T33" s="240"/>
      <c r="U33" s="25"/>
      <c r="V33" s="25"/>
      <c r="W33" s="25"/>
      <c r="X33" s="25"/>
      <c r="Y33" s="25"/>
      <c r="Z33" s="25"/>
      <c r="AA33" s="25"/>
      <c r="AB33" s="25"/>
      <c r="AC33" s="25"/>
      <c r="AD33" s="25"/>
    </row>
    <row r="34" spans="4:30" s="79" customFormat="1">
      <c r="G34" s="171"/>
      <c r="H34" s="188"/>
      <c r="I34" s="79" t="s">
        <v>42</v>
      </c>
      <c r="J34" s="79">
        <v>1507</v>
      </c>
      <c r="L34" s="111"/>
      <c r="M34" s="111"/>
      <c r="O34" s="161"/>
      <c r="T34" s="240"/>
      <c r="U34" s="25"/>
      <c r="V34" s="25"/>
      <c r="W34" s="25"/>
      <c r="X34" s="25"/>
      <c r="Y34" s="25"/>
      <c r="Z34" s="25"/>
      <c r="AA34" s="25"/>
      <c r="AB34" s="25"/>
      <c r="AC34" s="25"/>
      <c r="AD34" s="25"/>
    </row>
    <row r="35" spans="4:30" s="79" customFormat="1">
      <c r="D35" s="108"/>
      <c r="E35" s="144"/>
      <c r="G35" s="171"/>
      <c r="H35" s="188"/>
      <c r="I35" s="145" t="s">
        <v>43</v>
      </c>
      <c r="J35" s="161">
        <f>$J$13</f>
        <v>4383751.2390706325</v>
      </c>
      <c r="K35" s="161"/>
      <c r="L35" s="161"/>
      <c r="M35" s="111"/>
      <c r="O35" s="161"/>
      <c r="T35" s="240"/>
      <c r="U35" s="25"/>
      <c r="V35" s="25"/>
      <c r="W35" s="25"/>
      <c r="X35" s="25"/>
      <c r="Y35" s="25"/>
      <c r="Z35" s="25"/>
      <c r="AA35" s="25"/>
      <c r="AB35" s="25"/>
      <c r="AC35" s="25"/>
      <c r="AD35" s="25"/>
    </row>
    <row r="36" spans="4:30" s="79" customFormat="1">
      <c r="D36" s="250" t="s">
        <v>36</v>
      </c>
      <c r="E36" s="253" t="s">
        <v>37</v>
      </c>
      <c r="G36" s="171"/>
      <c r="H36" s="188"/>
      <c r="I36" s="145" t="s">
        <v>44</v>
      </c>
      <c r="J36" s="161">
        <f>(J35/J34)</f>
        <v>2908.9258387993582</v>
      </c>
      <c r="K36" s="161"/>
      <c r="L36" s="161"/>
      <c r="M36" s="111"/>
      <c r="O36" s="161"/>
      <c r="T36" s="240"/>
      <c r="U36" s="25"/>
      <c r="V36" s="25"/>
      <c r="W36" s="25"/>
      <c r="X36" s="25"/>
      <c r="Y36" s="25"/>
      <c r="Z36" s="25"/>
      <c r="AA36" s="25"/>
      <c r="AB36" s="25"/>
      <c r="AC36" s="25"/>
      <c r="AD36" s="25"/>
    </row>
    <row r="37" spans="4:30" s="79" customFormat="1">
      <c r="D37" s="251"/>
      <c r="E37" s="254"/>
      <c r="G37" s="171"/>
      <c r="H37" s="188"/>
      <c r="I37" s="145" t="s">
        <v>45</v>
      </c>
      <c r="J37" s="161">
        <f>$J$28</f>
        <v>361939.45543280855</v>
      </c>
      <c r="K37" s="161"/>
      <c r="L37" s="161"/>
      <c r="M37" s="111"/>
      <c r="O37" s="161"/>
      <c r="T37" s="240"/>
      <c r="U37" s="25"/>
      <c r="V37" s="25"/>
      <c r="W37" s="25"/>
      <c r="X37" s="25"/>
      <c r="Y37" s="25"/>
      <c r="Z37" s="25"/>
      <c r="AA37" s="25"/>
      <c r="AB37" s="25"/>
      <c r="AC37" s="25"/>
      <c r="AD37" s="25"/>
    </row>
    <row r="38" spans="4:30" s="79" customFormat="1">
      <c r="D38" s="251"/>
      <c r="E38" s="254"/>
      <c r="G38" s="171"/>
      <c r="H38" s="188"/>
      <c r="I38" s="145" t="s">
        <v>46</v>
      </c>
      <c r="J38" s="161">
        <f>(J37/J34)</f>
        <v>240.17216684327045</v>
      </c>
      <c r="K38" s="161"/>
      <c r="L38" s="161"/>
      <c r="M38" s="111"/>
      <c r="O38" s="161"/>
      <c r="T38" s="240"/>
      <c r="U38" s="25"/>
      <c r="V38" s="25"/>
      <c r="W38" s="25"/>
      <c r="X38" s="25"/>
      <c r="Y38" s="25"/>
      <c r="Z38" s="25"/>
      <c r="AA38" s="25"/>
      <c r="AB38" s="25"/>
      <c r="AC38" s="25"/>
      <c r="AD38" s="25"/>
    </row>
    <row r="39" spans="4:30" s="79" customFormat="1">
      <c r="D39" s="251"/>
      <c r="E39" s="254"/>
      <c r="G39" s="171"/>
      <c r="H39" s="188"/>
      <c r="I39" s="145" t="s">
        <v>47</v>
      </c>
      <c r="J39" s="161">
        <f>SUM(J35,J37)</f>
        <v>4745690.6945034415</v>
      </c>
      <c r="K39" s="161"/>
      <c r="L39" s="161"/>
      <c r="M39" s="111"/>
      <c r="O39" s="161"/>
      <c r="T39" s="240"/>
      <c r="U39" s="25"/>
      <c r="V39" s="25"/>
      <c r="W39" s="25"/>
      <c r="X39" s="25"/>
      <c r="Y39" s="25"/>
      <c r="Z39" s="25"/>
      <c r="AA39" s="25"/>
      <c r="AB39" s="25"/>
      <c r="AC39" s="25"/>
      <c r="AD39" s="25"/>
    </row>
    <row r="40" spans="4:30" s="79" customFormat="1">
      <c r="D40" s="251"/>
      <c r="E40" s="254"/>
      <c r="G40" s="171"/>
      <c r="H40" s="188"/>
      <c r="I40" s="145" t="s">
        <v>48</v>
      </c>
      <c r="J40" s="161">
        <f>J39/J34</f>
        <v>3149.0980056426288</v>
      </c>
      <c r="K40" s="161"/>
      <c r="L40" s="161"/>
      <c r="M40" s="111"/>
      <c r="O40" s="161"/>
      <c r="T40" s="240"/>
      <c r="U40" s="25"/>
      <c r="V40" s="25"/>
      <c r="W40" s="25"/>
      <c r="X40" s="25"/>
      <c r="Y40" s="25"/>
      <c r="Z40" s="25"/>
      <c r="AA40" s="25"/>
      <c r="AB40" s="25"/>
      <c r="AC40" s="25"/>
      <c r="AD40" s="25"/>
    </row>
    <row r="41" spans="4:30" s="79" customFormat="1">
      <c r="D41" s="251"/>
      <c r="E41" s="254"/>
      <c r="G41" s="171"/>
      <c r="H41" s="188"/>
      <c r="I41" s="145" t="s">
        <v>49</v>
      </c>
      <c r="J41" s="162">
        <v>1822135.8199999998</v>
      </c>
      <c r="K41" s="162"/>
      <c r="L41" s="162"/>
      <c r="M41" s="111"/>
      <c r="O41" s="161"/>
      <c r="T41" s="240"/>
      <c r="U41" s="25"/>
      <c r="V41" s="25"/>
      <c r="W41" s="25"/>
      <c r="X41" s="25"/>
      <c r="Y41" s="25"/>
      <c r="Z41" s="25"/>
      <c r="AA41" s="25"/>
      <c r="AB41" s="25"/>
      <c r="AC41" s="25"/>
      <c r="AD41" s="25"/>
    </row>
    <row r="42" spans="4:30" s="79" customFormat="1">
      <c r="D42" s="251"/>
      <c r="E42" s="254"/>
      <c r="G42" s="171"/>
      <c r="H42" s="188"/>
      <c r="I42" s="145" t="s">
        <v>50</v>
      </c>
      <c r="J42" s="162">
        <f>J41/J34</f>
        <v>1209.1146781685466</v>
      </c>
      <c r="K42" s="162"/>
      <c r="L42" s="162"/>
      <c r="M42" s="111"/>
      <c r="O42" s="161"/>
      <c r="T42" s="240"/>
      <c r="U42" s="25"/>
      <c r="V42" s="25"/>
      <c r="W42" s="25"/>
      <c r="X42" s="25"/>
      <c r="Y42" s="25"/>
      <c r="Z42" s="25"/>
      <c r="AA42" s="25"/>
      <c r="AB42" s="25"/>
      <c r="AC42" s="25"/>
      <c r="AD42" s="25"/>
    </row>
    <row r="43" spans="4:30" s="79" customFormat="1">
      <c r="D43" s="251"/>
      <c r="E43" s="254"/>
      <c r="G43" s="171"/>
      <c r="H43" s="188"/>
      <c r="I43" s="145" t="s">
        <v>51</v>
      </c>
      <c r="J43" s="163">
        <f>J40/J42</f>
        <v>2.6044659472768843</v>
      </c>
      <c r="K43" s="163"/>
      <c r="L43" s="111"/>
      <c r="M43" s="111"/>
      <c r="T43" s="240"/>
      <c r="U43" s="25"/>
      <c r="V43" s="25"/>
      <c r="W43" s="25"/>
      <c r="X43" s="25"/>
      <c r="Y43" s="25"/>
      <c r="Z43" s="25"/>
      <c r="AA43" s="25"/>
      <c r="AB43" s="25"/>
      <c r="AC43" s="25"/>
      <c r="AD43" s="25"/>
    </row>
    <row r="44" spans="4:30" s="79" customFormat="1">
      <c r="D44" s="251"/>
      <c r="E44" s="254"/>
      <c r="G44" s="171"/>
      <c r="H44" s="188"/>
      <c r="I44" s="145"/>
      <c r="J44" s="111"/>
      <c r="K44" s="111"/>
      <c r="L44" s="111"/>
      <c r="M44" s="111"/>
      <c r="T44" s="240"/>
      <c r="U44" s="25"/>
      <c r="V44" s="25"/>
      <c r="W44" s="25"/>
      <c r="X44" s="25"/>
      <c r="Y44" s="25"/>
      <c r="Z44" s="25"/>
      <c r="AA44" s="25"/>
      <c r="AB44" s="25"/>
      <c r="AC44" s="25"/>
      <c r="AD44" s="25"/>
    </row>
    <row r="45" spans="4:30" s="79" customFormat="1">
      <c r="D45" s="251"/>
      <c r="E45" s="254"/>
      <c r="G45" s="171"/>
      <c r="H45" s="188"/>
      <c r="I45" s="145"/>
      <c r="J45" s="111"/>
      <c r="K45" s="111"/>
      <c r="L45" s="111"/>
      <c r="M45" s="111"/>
      <c r="T45" s="240"/>
      <c r="U45" s="25"/>
      <c r="V45" s="25"/>
      <c r="W45" s="25"/>
      <c r="X45" s="25"/>
      <c r="Y45" s="25"/>
      <c r="Z45" s="25"/>
      <c r="AA45" s="25"/>
      <c r="AB45" s="25"/>
      <c r="AC45" s="25"/>
      <c r="AD45" s="25"/>
    </row>
    <row r="46" spans="4:30" s="79" customFormat="1">
      <c r="D46" s="251"/>
      <c r="E46" s="254"/>
      <c r="G46" s="171"/>
      <c r="H46" s="188"/>
      <c r="I46" s="145"/>
      <c r="J46" s="111"/>
      <c r="K46" s="111"/>
      <c r="L46" s="111"/>
      <c r="M46" s="111"/>
      <c r="T46" s="240"/>
      <c r="U46" s="25"/>
      <c r="V46" s="25"/>
      <c r="W46" s="25"/>
      <c r="X46" s="25"/>
      <c r="Y46" s="25"/>
      <c r="Z46" s="25"/>
      <c r="AA46" s="25"/>
      <c r="AB46" s="25"/>
      <c r="AC46" s="25"/>
      <c r="AD46" s="25"/>
    </row>
    <row r="47" spans="4:30" s="79" customFormat="1">
      <c r="D47" s="251"/>
      <c r="E47" s="254"/>
      <c r="G47" s="171"/>
      <c r="H47" s="188"/>
      <c r="I47" s="145"/>
      <c r="J47" s="111"/>
      <c r="K47" s="111"/>
      <c r="L47" s="111"/>
      <c r="M47" s="111"/>
      <c r="T47" s="240"/>
      <c r="U47" s="25"/>
      <c r="V47" s="25"/>
      <c r="W47" s="25"/>
      <c r="X47" s="25"/>
      <c r="Y47" s="25"/>
      <c r="Z47" s="25"/>
      <c r="AA47" s="25"/>
      <c r="AB47" s="25"/>
      <c r="AC47" s="25"/>
      <c r="AD47" s="25"/>
    </row>
    <row r="48" spans="4:30" s="79" customFormat="1">
      <c r="D48" s="251"/>
      <c r="E48" s="254"/>
      <c r="G48" s="171"/>
      <c r="H48" s="188"/>
      <c r="I48" s="145"/>
      <c r="J48" s="111">
        <v>135517.59473790228</v>
      </c>
      <c r="K48" s="111">
        <v>103634.1980778462</v>
      </c>
      <c r="L48" s="111">
        <v>226304.00361207779</v>
      </c>
      <c r="M48" s="111">
        <v>164046.05338326714</v>
      </c>
      <c r="N48" s="79">
        <v>102450.52862724126</v>
      </c>
      <c r="O48" s="79">
        <v>1260979.1261035053</v>
      </c>
      <c r="P48" s="79">
        <v>468999.16380822961</v>
      </c>
      <c r="Q48" s="79">
        <v>2052249.6128695183</v>
      </c>
      <c r="S48" s="79">
        <v>231510.41328385303</v>
      </c>
      <c r="T48" s="240"/>
      <c r="U48" s="25"/>
      <c r="V48" s="25"/>
      <c r="W48" s="25"/>
      <c r="X48" s="25"/>
      <c r="Y48" s="25"/>
      <c r="Z48" s="25"/>
      <c r="AA48" s="25"/>
      <c r="AB48" s="25"/>
      <c r="AC48" s="25"/>
      <c r="AD48" s="25"/>
    </row>
    <row r="49" spans="4:30" s="79" customFormat="1">
      <c r="D49" s="251"/>
      <c r="E49" s="254"/>
      <c r="G49" s="171"/>
      <c r="H49" s="188"/>
      <c r="I49" s="145"/>
      <c r="J49" s="111"/>
      <c r="K49" s="111"/>
      <c r="L49" s="111"/>
      <c r="M49" s="111"/>
      <c r="T49" s="240"/>
      <c r="U49" s="25"/>
      <c r="V49" s="25"/>
      <c r="W49" s="25"/>
      <c r="X49" s="25"/>
      <c r="Y49" s="25"/>
      <c r="Z49" s="25"/>
      <c r="AA49" s="25"/>
      <c r="AB49" s="25"/>
      <c r="AC49" s="25"/>
      <c r="AD49" s="25"/>
    </row>
    <row r="50" spans="4:30" s="79" customFormat="1">
      <c r="D50" s="251"/>
      <c r="E50" s="254"/>
      <c r="G50" s="171"/>
      <c r="H50" s="188"/>
      <c r="I50" s="145"/>
      <c r="J50" s="111"/>
      <c r="K50" s="111"/>
      <c r="L50" s="111"/>
      <c r="M50" s="111"/>
      <c r="T50" s="240"/>
      <c r="U50" s="25"/>
      <c r="V50" s="25"/>
      <c r="W50" s="25"/>
      <c r="X50" s="25"/>
      <c r="Y50" s="25"/>
      <c r="Z50" s="25"/>
      <c r="AA50" s="25"/>
      <c r="AB50" s="25"/>
      <c r="AC50" s="25"/>
      <c r="AD50" s="25"/>
    </row>
    <row r="51" spans="4:30" s="79" customFormat="1">
      <c r="D51" s="251"/>
      <c r="E51" s="254"/>
      <c r="G51" s="171"/>
      <c r="H51" s="188"/>
      <c r="I51" s="145"/>
      <c r="J51" s="111"/>
      <c r="K51" s="111"/>
      <c r="L51" s="111"/>
      <c r="M51" s="111"/>
      <c r="T51" s="240"/>
      <c r="U51" s="25"/>
      <c r="V51" s="25"/>
      <c r="W51" s="25"/>
      <c r="X51" s="25"/>
      <c r="Y51" s="25"/>
      <c r="Z51" s="25"/>
      <c r="AA51" s="25"/>
      <c r="AB51" s="25"/>
      <c r="AC51" s="25"/>
      <c r="AD51" s="25"/>
    </row>
    <row r="52" spans="4:30" s="79" customFormat="1">
      <c r="D52" s="252"/>
      <c r="E52" s="255"/>
      <c r="G52" s="171"/>
      <c r="H52" s="188"/>
      <c r="I52" s="145"/>
      <c r="J52" s="111"/>
      <c r="K52" s="111"/>
      <c r="L52" s="111"/>
      <c r="M52" s="111"/>
      <c r="T52" s="240"/>
      <c r="U52" s="25"/>
      <c r="V52" s="25"/>
      <c r="W52" s="25"/>
      <c r="X52" s="25"/>
      <c r="Y52" s="25"/>
      <c r="Z52" s="25"/>
      <c r="AA52" s="25"/>
      <c r="AB52" s="25"/>
      <c r="AC52" s="25"/>
      <c r="AD52" s="25"/>
    </row>
    <row r="53" spans="4:30" s="79" customFormat="1">
      <c r="D53" s="108"/>
      <c r="E53" s="144"/>
      <c r="G53" s="171"/>
      <c r="H53" s="188"/>
      <c r="I53" s="145"/>
      <c r="J53" s="111"/>
      <c r="K53" s="111"/>
      <c r="L53" s="111"/>
      <c r="M53" s="111"/>
      <c r="T53" s="240"/>
      <c r="U53" s="25"/>
      <c r="V53" s="25"/>
      <c r="W53" s="25"/>
      <c r="X53" s="25"/>
      <c r="Y53" s="25"/>
      <c r="Z53" s="25"/>
      <c r="AA53" s="25"/>
      <c r="AB53" s="25"/>
      <c r="AC53" s="25"/>
      <c r="AD53" s="25"/>
    </row>
    <row r="54" spans="4:30" s="79" customFormat="1">
      <c r="D54" s="108"/>
      <c r="E54" s="144"/>
      <c r="G54" s="171"/>
      <c r="H54" s="188"/>
      <c r="I54" s="145"/>
      <c r="J54" s="111"/>
      <c r="K54" s="111"/>
      <c r="L54" s="111"/>
      <c r="M54" s="111"/>
      <c r="T54" s="240"/>
      <c r="U54" s="25"/>
      <c r="V54" s="25"/>
      <c r="W54" s="25"/>
      <c r="X54" s="25"/>
      <c r="Y54" s="25"/>
      <c r="Z54" s="25"/>
      <c r="AA54" s="25"/>
      <c r="AB54" s="25"/>
      <c r="AC54" s="25"/>
      <c r="AD54" s="25"/>
    </row>
    <row r="55" spans="4:30" s="79" customFormat="1">
      <c r="D55" s="108"/>
      <c r="E55" s="144"/>
      <c r="G55" s="171"/>
      <c r="H55" s="188"/>
      <c r="I55" s="145"/>
      <c r="J55" s="111"/>
      <c r="K55" s="111"/>
      <c r="L55" s="111"/>
      <c r="M55" s="111"/>
      <c r="T55" s="240"/>
      <c r="U55" s="25"/>
      <c r="V55" s="25"/>
      <c r="W55" s="25"/>
      <c r="X55" s="25"/>
      <c r="Y55" s="25"/>
      <c r="Z55" s="25"/>
      <c r="AA55" s="25"/>
      <c r="AB55" s="25"/>
      <c r="AC55" s="25"/>
      <c r="AD55" s="25"/>
    </row>
    <row r="56" spans="4:30" s="79" customFormat="1">
      <c r="D56" s="108"/>
      <c r="E56" s="144"/>
      <c r="G56" s="171"/>
      <c r="H56" s="188"/>
      <c r="I56" s="145"/>
      <c r="J56" s="111"/>
      <c r="K56" s="111"/>
      <c r="L56" s="111"/>
      <c r="M56" s="111"/>
      <c r="T56" s="240"/>
      <c r="U56" s="25"/>
      <c r="V56" s="25"/>
      <c r="W56" s="25"/>
      <c r="X56" s="25"/>
      <c r="Y56" s="25"/>
      <c r="Z56" s="25"/>
      <c r="AA56" s="25"/>
      <c r="AB56" s="25"/>
      <c r="AC56" s="25"/>
      <c r="AD56" s="25"/>
    </row>
    <row r="57" spans="4:30" s="79" customFormat="1">
      <c r="D57" s="108"/>
      <c r="E57" s="144"/>
      <c r="G57" s="171"/>
      <c r="H57" s="188"/>
      <c r="I57" s="145"/>
      <c r="J57" s="111"/>
      <c r="K57" s="111"/>
      <c r="L57" s="111"/>
      <c r="M57" s="111"/>
      <c r="T57" s="240"/>
      <c r="U57" s="25"/>
      <c r="V57" s="25"/>
      <c r="W57" s="25"/>
      <c r="X57" s="25"/>
      <c r="Y57" s="25"/>
      <c r="Z57" s="25"/>
      <c r="AA57" s="25"/>
      <c r="AB57" s="25"/>
      <c r="AC57" s="25"/>
      <c r="AD57" s="25"/>
    </row>
    <row r="58" spans="4:30" s="79" customFormat="1">
      <c r="D58" s="108"/>
      <c r="E58" s="144"/>
      <c r="G58" s="171"/>
      <c r="H58" s="188"/>
      <c r="I58" s="145"/>
      <c r="J58" s="111"/>
      <c r="K58" s="111"/>
      <c r="L58" s="111"/>
      <c r="M58" s="111"/>
      <c r="T58" s="240"/>
      <c r="U58" s="25"/>
      <c r="V58" s="25"/>
      <c r="W58" s="25"/>
      <c r="X58" s="25"/>
      <c r="Y58" s="25"/>
      <c r="Z58" s="25"/>
      <c r="AA58" s="25"/>
      <c r="AB58" s="25"/>
      <c r="AC58" s="25"/>
      <c r="AD58" s="25"/>
    </row>
    <row r="59" spans="4:30" s="79" customFormat="1">
      <c r="D59" s="108"/>
      <c r="E59" s="144"/>
      <c r="G59" s="171"/>
      <c r="H59" s="188"/>
      <c r="I59" s="145"/>
      <c r="J59" s="111"/>
      <c r="K59" s="111"/>
      <c r="L59" s="111"/>
      <c r="M59" s="111"/>
      <c r="T59" s="240"/>
      <c r="U59" s="25"/>
      <c r="V59" s="25"/>
      <c r="W59" s="25"/>
      <c r="X59" s="25"/>
      <c r="Y59" s="25"/>
      <c r="Z59" s="25"/>
      <c r="AA59" s="25"/>
      <c r="AB59" s="25"/>
      <c r="AC59" s="25"/>
      <c r="AD59" s="25"/>
    </row>
    <row r="60" spans="4:30" s="79" customFormat="1">
      <c r="D60" s="108"/>
      <c r="E60" s="144"/>
      <c r="G60" s="171"/>
      <c r="H60" s="188"/>
      <c r="I60" s="145"/>
      <c r="J60" s="111"/>
      <c r="K60" s="111"/>
      <c r="L60" s="111"/>
      <c r="M60" s="111"/>
      <c r="T60" s="240"/>
      <c r="U60" s="25"/>
      <c r="V60" s="25"/>
      <c r="W60" s="25"/>
      <c r="X60" s="25"/>
      <c r="Y60" s="25"/>
      <c r="Z60" s="25"/>
      <c r="AA60" s="25"/>
      <c r="AB60" s="25"/>
      <c r="AC60" s="25"/>
      <c r="AD60" s="25"/>
    </row>
    <row r="61" spans="4:30" s="79" customFormat="1">
      <c r="D61" s="108"/>
      <c r="E61" s="144"/>
      <c r="G61" s="171"/>
      <c r="H61" s="188"/>
      <c r="I61" s="145"/>
      <c r="J61" s="111"/>
      <c r="K61" s="111"/>
      <c r="L61" s="111"/>
      <c r="M61" s="111"/>
      <c r="T61" s="240"/>
      <c r="U61" s="25"/>
      <c r="V61" s="25"/>
      <c r="W61" s="25"/>
      <c r="X61" s="25"/>
      <c r="Y61" s="25"/>
      <c r="Z61" s="25"/>
      <c r="AA61" s="25"/>
      <c r="AB61" s="25"/>
      <c r="AC61" s="25"/>
      <c r="AD61" s="25"/>
    </row>
    <row r="62" spans="4:30" s="79" customFormat="1">
      <c r="D62" s="108"/>
      <c r="E62" s="144"/>
      <c r="G62" s="171"/>
      <c r="H62" s="188"/>
      <c r="I62" s="145"/>
      <c r="J62" s="111"/>
      <c r="K62" s="111"/>
      <c r="L62" s="111"/>
      <c r="M62" s="111"/>
      <c r="T62" s="240"/>
      <c r="U62" s="25"/>
      <c r="V62" s="25"/>
      <c r="W62" s="25"/>
      <c r="X62" s="25"/>
      <c r="Y62" s="25"/>
      <c r="Z62" s="25"/>
      <c r="AA62" s="25"/>
      <c r="AB62" s="25"/>
      <c r="AC62" s="25"/>
      <c r="AD62" s="25"/>
    </row>
    <row r="63" spans="4:30" s="79" customFormat="1">
      <c r="D63" s="108"/>
      <c r="E63" s="144"/>
      <c r="G63" s="171"/>
      <c r="H63" s="188"/>
      <c r="I63" s="145"/>
      <c r="J63" s="111"/>
      <c r="K63" s="111"/>
      <c r="L63" s="111"/>
      <c r="M63" s="111"/>
      <c r="T63" s="240"/>
      <c r="U63" s="25"/>
      <c r="V63" s="25"/>
      <c r="W63" s="25"/>
      <c r="X63" s="25"/>
      <c r="Y63" s="25"/>
      <c r="Z63" s="25"/>
      <c r="AA63" s="25"/>
      <c r="AB63" s="25"/>
      <c r="AC63" s="25"/>
      <c r="AD63" s="25"/>
    </row>
    <row r="64" spans="4:30" s="79" customFormat="1">
      <c r="D64" s="108"/>
      <c r="E64" s="144"/>
      <c r="G64" s="171"/>
      <c r="H64" s="188"/>
      <c r="I64" s="145"/>
      <c r="J64" s="111"/>
      <c r="K64" s="111"/>
      <c r="L64" s="111"/>
      <c r="M64" s="111"/>
      <c r="T64" s="240"/>
      <c r="U64" s="25"/>
      <c r="V64" s="25"/>
      <c r="W64" s="25"/>
      <c r="X64" s="25"/>
      <c r="Y64" s="25"/>
      <c r="Z64" s="25"/>
      <c r="AA64" s="25"/>
      <c r="AB64" s="25"/>
      <c r="AC64" s="25"/>
      <c r="AD64" s="25"/>
    </row>
    <row r="65" spans="4:30" s="79" customFormat="1">
      <c r="D65" s="108"/>
      <c r="E65" s="144"/>
      <c r="G65" s="171"/>
      <c r="H65" s="188"/>
      <c r="I65" s="145"/>
      <c r="J65" s="111"/>
      <c r="K65" s="111"/>
      <c r="L65" s="111"/>
      <c r="M65" s="111"/>
      <c r="T65" s="240"/>
      <c r="U65" s="25"/>
      <c r="V65" s="25"/>
      <c r="W65" s="25"/>
      <c r="X65" s="25"/>
      <c r="Y65" s="25"/>
      <c r="Z65" s="25"/>
      <c r="AA65" s="25"/>
      <c r="AB65" s="25"/>
      <c r="AC65" s="25"/>
      <c r="AD65" s="25"/>
    </row>
    <row r="66" spans="4:30" s="79" customFormat="1">
      <c r="D66" s="108"/>
      <c r="E66" s="144"/>
      <c r="G66" s="171"/>
      <c r="H66" s="188"/>
      <c r="I66" s="145"/>
      <c r="J66" s="111"/>
      <c r="K66" s="111"/>
      <c r="L66" s="111"/>
      <c r="M66" s="111"/>
      <c r="T66" s="240"/>
      <c r="U66" s="25"/>
      <c r="V66" s="25"/>
      <c r="W66" s="25"/>
      <c r="X66" s="25"/>
      <c r="Y66" s="25"/>
      <c r="Z66" s="25"/>
      <c r="AA66" s="25"/>
      <c r="AB66" s="25"/>
      <c r="AC66" s="25"/>
      <c r="AD66" s="25"/>
    </row>
    <row r="67" spans="4:30" s="79" customFormat="1">
      <c r="D67" s="108"/>
      <c r="E67" s="144"/>
      <c r="G67" s="171"/>
      <c r="H67" s="188"/>
      <c r="I67" s="145"/>
      <c r="J67" s="111"/>
      <c r="K67" s="111"/>
      <c r="L67" s="111"/>
      <c r="M67" s="111"/>
      <c r="T67" s="240"/>
      <c r="U67" s="25"/>
      <c r="V67" s="25"/>
      <c r="W67" s="25"/>
      <c r="X67" s="25"/>
      <c r="Y67" s="25"/>
      <c r="Z67" s="25"/>
      <c r="AA67" s="25"/>
      <c r="AB67" s="25"/>
      <c r="AC67" s="25"/>
      <c r="AD67" s="25"/>
    </row>
    <row r="68" spans="4:30" s="79" customFormat="1">
      <c r="D68" s="108"/>
      <c r="E68" s="144"/>
      <c r="G68" s="171"/>
      <c r="H68" s="188"/>
      <c r="I68" s="145"/>
      <c r="J68" s="111"/>
      <c r="K68" s="111"/>
      <c r="L68" s="111"/>
      <c r="M68" s="111"/>
      <c r="T68" s="240"/>
      <c r="U68" s="25"/>
      <c r="V68" s="25"/>
      <c r="W68" s="25"/>
      <c r="X68" s="25"/>
      <c r="Y68" s="25"/>
      <c r="Z68" s="25"/>
      <c r="AA68" s="25"/>
      <c r="AB68" s="25"/>
      <c r="AC68" s="25"/>
      <c r="AD68" s="25"/>
    </row>
    <row r="69" spans="4:30" s="79" customFormat="1">
      <c r="D69" s="108"/>
      <c r="E69" s="144"/>
      <c r="G69" s="171"/>
      <c r="H69" s="188"/>
      <c r="I69" s="145"/>
      <c r="J69" s="111"/>
      <c r="K69" s="111"/>
      <c r="L69" s="111"/>
      <c r="M69" s="111"/>
      <c r="T69" s="240"/>
      <c r="U69" s="25"/>
      <c r="V69" s="25"/>
      <c r="W69" s="25"/>
      <c r="X69" s="25"/>
      <c r="Y69" s="25"/>
      <c r="Z69" s="25"/>
      <c r="AA69" s="25"/>
      <c r="AB69" s="25"/>
      <c r="AC69" s="25"/>
      <c r="AD69" s="25"/>
    </row>
    <row r="70" spans="4:30" s="79" customFormat="1">
      <c r="D70" s="108"/>
      <c r="E70" s="144"/>
      <c r="G70" s="171"/>
      <c r="H70" s="188"/>
      <c r="I70" s="145"/>
      <c r="J70" s="111"/>
      <c r="K70" s="111"/>
      <c r="L70" s="111"/>
      <c r="M70" s="111"/>
      <c r="T70" s="240"/>
      <c r="U70" s="25"/>
      <c r="V70" s="25"/>
      <c r="W70" s="25"/>
      <c r="X70" s="25"/>
      <c r="Y70" s="25"/>
      <c r="Z70" s="25"/>
      <c r="AA70" s="25"/>
      <c r="AB70" s="25"/>
      <c r="AC70" s="25"/>
      <c r="AD70" s="25"/>
    </row>
    <row r="71" spans="4:30" s="79" customFormat="1">
      <c r="D71" s="108"/>
      <c r="E71" s="144"/>
      <c r="G71" s="171"/>
      <c r="H71" s="188"/>
      <c r="I71" s="145"/>
      <c r="J71" s="111"/>
      <c r="K71" s="111"/>
      <c r="L71" s="111"/>
      <c r="M71" s="111"/>
      <c r="T71" s="240"/>
      <c r="U71" s="25"/>
      <c r="V71" s="25"/>
      <c r="W71" s="25"/>
      <c r="X71" s="25"/>
      <c r="Y71" s="25"/>
      <c r="Z71" s="25"/>
      <c r="AA71" s="25"/>
      <c r="AB71" s="25"/>
      <c r="AC71" s="25"/>
      <c r="AD71" s="25"/>
    </row>
  </sheetData>
  <mergeCells count="32">
    <mergeCell ref="S26:S27"/>
    <mergeCell ref="T1:T1048576"/>
    <mergeCell ref="M26:M27"/>
    <mergeCell ref="N26:N27"/>
    <mergeCell ref="O26:O27"/>
    <mergeCell ref="P26:P27"/>
    <mergeCell ref="Q26:Q27"/>
    <mergeCell ref="J16:S18"/>
    <mergeCell ref="J26:J27"/>
    <mergeCell ref="K26:K27"/>
    <mergeCell ref="L26:L27"/>
    <mergeCell ref="L11:L12"/>
    <mergeCell ref="M11:M12"/>
    <mergeCell ref="N11:N12"/>
    <mergeCell ref="Q11:Q12"/>
    <mergeCell ref="S11:S12"/>
    <mergeCell ref="D36:D52"/>
    <mergeCell ref="E36:E52"/>
    <mergeCell ref="A16:E16"/>
    <mergeCell ref="I16:I19"/>
    <mergeCell ref="I26:I27"/>
    <mergeCell ref="A9:E11"/>
    <mergeCell ref="I11:I12"/>
    <mergeCell ref="I1:I4"/>
    <mergeCell ref="P11:P12"/>
    <mergeCell ref="J1:S3"/>
    <mergeCell ref="A1:E2"/>
    <mergeCell ref="A3:E3"/>
    <mergeCell ref="O11:O12"/>
    <mergeCell ref="J11:J12"/>
    <mergeCell ref="K11:K12"/>
    <mergeCell ref="R11:R1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3:G29"/>
  <sheetViews>
    <sheetView topLeftCell="A7" zoomScale="110" zoomScaleNormal="110" workbookViewId="0">
      <selection activeCell="F17" sqref="F17"/>
    </sheetView>
  </sheetViews>
  <sheetFormatPr defaultColWidth="8.85546875" defaultRowHeight="15"/>
  <cols>
    <col min="1" max="1" width="17.28515625" bestFit="1" customWidth="1"/>
    <col min="2" max="3" width="17.28515625" style="102" customWidth="1"/>
    <col min="4" max="5" width="17.28515625" style="105" customWidth="1"/>
    <col min="6" max="6" width="16.28515625" bestFit="1" customWidth="1"/>
    <col min="7" max="7" width="12.7109375" style="74" customWidth="1"/>
  </cols>
  <sheetData>
    <row r="3" spans="1:7" s="72" customFormat="1" ht="66" customHeight="1">
      <c r="A3" s="52" t="s">
        <v>6</v>
      </c>
      <c r="B3" s="137" t="s">
        <v>53</v>
      </c>
      <c r="C3" s="137" t="s">
        <v>54</v>
      </c>
      <c r="D3" s="138" t="s">
        <v>55</v>
      </c>
      <c r="E3" s="138" t="s">
        <v>54</v>
      </c>
      <c r="F3" s="139" t="s">
        <v>56</v>
      </c>
      <c r="G3" s="140" t="s">
        <v>57</v>
      </c>
    </row>
    <row r="4" spans="1:7" ht="26.25" customHeight="1">
      <c r="A4" s="48" t="s">
        <v>21</v>
      </c>
      <c r="B4" s="141" t="s">
        <v>58</v>
      </c>
      <c r="C4" s="142" t="s">
        <v>59</v>
      </c>
      <c r="D4" s="142">
        <v>0.8</v>
      </c>
      <c r="E4" s="142" t="s">
        <v>59</v>
      </c>
      <c r="F4" s="143">
        <f>'Colorectal Benefit'!$F$16</f>
        <v>17293.082565880046</v>
      </c>
      <c r="G4" s="143">
        <f>'Colorectal Benefit'!$R$15</f>
        <v>1441.3781090124412</v>
      </c>
    </row>
    <row r="5" spans="1:7">
      <c r="A5" s="48" t="s">
        <v>23</v>
      </c>
      <c r="B5" s="141">
        <v>0.25800000000000001</v>
      </c>
      <c r="C5" s="142" t="s">
        <v>59</v>
      </c>
      <c r="D5" s="142">
        <v>0.5</v>
      </c>
      <c r="E5" s="142" t="s">
        <v>59</v>
      </c>
      <c r="F5" s="143">
        <f>'Heart Disease Benefit'!$G$16</f>
        <v>5775.2181929014514</v>
      </c>
      <c r="G5" s="143">
        <f>'Heart Disease Benefit'!$S$16</f>
        <v>1332.6418077395683</v>
      </c>
    </row>
    <row r="6" spans="1:7">
      <c r="A6" s="48" t="s">
        <v>25</v>
      </c>
      <c r="B6" s="141">
        <v>8.1000000000000003E-2</v>
      </c>
      <c r="C6" s="142" t="s">
        <v>59</v>
      </c>
      <c r="D6" s="142">
        <v>0.49</v>
      </c>
      <c r="E6" s="142" t="s">
        <v>59</v>
      </c>
      <c r="F6" s="143">
        <f>'Stroke Benefits'!$G$18</f>
        <v>26003.011937672796</v>
      </c>
      <c r="G6" s="143">
        <f>'Stroke Benefits'!$U$18</f>
        <v>4265.2771383769777</v>
      </c>
    </row>
    <row r="7" spans="1:7">
      <c r="A7" s="48" t="s">
        <v>15</v>
      </c>
      <c r="B7" s="141">
        <v>0.29299999999999998</v>
      </c>
      <c r="C7" s="142" t="s">
        <v>59</v>
      </c>
      <c r="D7" s="142">
        <v>0.45</v>
      </c>
      <c r="E7" s="142" t="s">
        <v>59</v>
      </c>
      <c r="F7" s="143">
        <f>'Hypertension Benefit'!$G$29</f>
        <v>1700.9371327253966</v>
      </c>
      <c r="G7" s="143">
        <f>'Hypertension Benefit'!$S$29</f>
        <v>4903.9041707009201</v>
      </c>
    </row>
    <row r="8" spans="1:7">
      <c r="A8" s="283" t="s">
        <v>60</v>
      </c>
      <c r="B8" s="283"/>
      <c r="C8" s="283"/>
      <c r="D8" s="283"/>
      <c r="E8" s="176"/>
      <c r="F8" s="143"/>
      <c r="G8" s="143"/>
    </row>
    <row r="9" spans="1:7">
      <c r="A9" s="283"/>
      <c r="B9" s="283"/>
      <c r="C9" s="283"/>
      <c r="D9" s="283"/>
      <c r="E9" s="176"/>
      <c r="F9" s="143"/>
      <c r="G9" s="143"/>
    </row>
    <row r="10" spans="1:7">
      <c r="A10" s="283"/>
      <c r="B10" s="283"/>
      <c r="C10" s="283"/>
      <c r="D10" s="283"/>
      <c r="E10" s="176"/>
      <c r="F10" s="143"/>
      <c r="G10" s="143"/>
    </row>
    <row r="11" spans="1:7">
      <c r="A11" s="48" t="s">
        <v>16</v>
      </c>
      <c r="B11" s="141">
        <v>0.10299999999999999</v>
      </c>
      <c r="C11" s="142" t="s">
        <v>59</v>
      </c>
      <c r="D11" s="142">
        <v>0.15</v>
      </c>
      <c r="E11" s="142" t="s">
        <v>61</v>
      </c>
      <c r="F11" s="143">
        <f>osteoporosis!$C$35</f>
        <v>85670.525065513924</v>
      </c>
      <c r="G11" s="143">
        <f>osteoporosis!$M$22</f>
        <v>2333.4852399999468</v>
      </c>
    </row>
    <row r="12" spans="1:7">
      <c r="A12" s="48" t="s">
        <v>32</v>
      </c>
      <c r="B12" s="141">
        <v>0.28000000000000003</v>
      </c>
      <c r="C12" s="142" t="s">
        <v>59</v>
      </c>
      <c r="D12" s="142">
        <v>0.45</v>
      </c>
      <c r="E12" s="142" t="s">
        <v>59</v>
      </c>
      <c r="F12" s="143">
        <f>'Type 2 Diabeties'!$C$31</f>
        <v>50777.185201500433</v>
      </c>
      <c r="G12" s="143">
        <f>'Type 2 Diabeties'!$Q$18</f>
        <v>2349.6673112603353</v>
      </c>
    </row>
    <row r="13" spans="1:7">
      <c r="A13" s="48" t="s">
        <v>18</v>
      </c>
      <c r="B13" s="141">
        <v>0.38</v>
      </c>
      <c r="C13" s="142" t="s">
        <v>59</v>
      </c>
      <c r="D13" s="142">
        <v>0.5</v>
      </c>
      <c r="E13" s="142" t="s">
        <v>61</v>
      </c>
      <c r="F13" s="143">
        <f>Obesity!$C$45</f>
        <v>30080.075037511851</v>
      </c>
      <c r="G13" s="143">
        <f>Obesity!$N$32</f>
        <v>2679.2700404212778</v>
      </c>
    </row>
    <row r="14" spans="1:7">
      <c r="A14" s="48" t="s">
        <v>34</v>
      </c>
      <c r="B14" s="141">
        <v>0.16700000000000001</v>
      </c>
      <c r="C14" s="142" t="s">
        <v>59</v>
      </c>
      <c r="D14" s="142">
        <v>1</v>
      </c>
      <c r="E14" s="142" t="s">
        <v>59</v>
      </c>
      <c r="F14" s="143">
        <f>'Foodborne illness'!$C$47</f>
        <v>31322.097401202354</v>
      </c>
      <c r="G14" s="143">
        <f>'Foodborne illness'!$M$34</f>
        <v>1296.1370713710346</v>
      </c>
    </row>
    <row r="15" spans="1:7">
      <c r="A15" s="249" t="s">
        <v>62</v>
      </c>
      <c r="B15" s="249"/>
      <c r="C15" s="249"/>
      <c r="D15" s="249"/>
      <c r="E15" s="175"/>
      <c r="F15" s="143"/>
      <c r="G15" s="143"/>
    </row>
    <row r="16" spans="1:7">
      <c r="A16" s="48" t="s">
        <v>20</v>
      </c>
      <c r="B16" s="141">
        <v>1</v>
      </c>
      <c r="C16" s="142" t="s">
        <v>59</v>
      </c>
      <c r="D16" s="142">
        <v>0.22</v>
      </c>
      <c r="E16" s="142" t="s">
        <v>61</v>
      </c>
      <c r="F16" s="143">
        <f>'Data &amp; PV'!$G$12</f>
        <v>2539.229198</v>
      </c>
      <c r="G16" s="143"/>
    </row>
    <row r="17" spans="1:7">
      <c r="A17" s="208" t="s">
        <v>83</v>
      </c>
      <c r="B17" s="217">
        <v>8.0199999999999994E-2</v>
      </c>
      <c r="C17" s="218"/>
      <c r="D17" s="218">
        <v>1</v>
      </c>
      <c r="E17" s="215"/>
      <c r="F17" s="216">
        <f>'Data &amp; PV'!$G$13</f>
        <v>21799.185582999999</v>
      </c>
      <c r="G17" s="216"/>
    </row>
    <row r="18" spans="1:7">
      <c r="A18" s="173"/>
      <c r="B18" s="287" t="s">
        <v>63</v>
      </c>
      <c r="C18" s="149"/>
      <c r="D18" s="284" t="s">
        <v>64</v>
      </c>
      <c r="E18" s="147"/>
      <c r="F18" s="290" t="s">
        <v>65</v>
      </c>
      <c r="G18" s="290"/>
    </row>
    <row r="19" spans="1:7">
      <c r="B19" s="288"/>
      <c r="C19" s="150"/>
      <c r="D19" s="285"/>
      <c r="E19" s="148"/>
      <c r="F19" s="291"/>
      <c r="G19" s="291"/>
    </row>
    <row r="20" spans="1:7">
      <c r="B20" s="288"/>
      <c r="C20" s="150"/>
      <c r="D20" s="285"/>
      <c r="E20" s="148"/>
      <c r="F20" s="291"/>
      <c r="G20" s="291"/>
    </row>
    <row r="21" spans="1:7">
      <c r="B21" s="288"/>
      <c r="C21" s="150"/>
      <c r="D21" s="285"/>
      <c r="E21" s="148"/>
      <c r="F21" s="291"/>
      <c r="G21" s="291"/>
    </row>
    <row r="22" spans="1:7">
      <c r="B22" s="288"/>
      <c r="C22" s="150"/>
      <c r="D22" s="285"/>
      <c r="E22" s="148"/>
      <c r="F22" s="291"/>
      <c r="G22" s="291"/>
    </row>
    <row r="23" spans="1:7">
      <c r="B23" s="288"/>
      <c r="C23" s="150"/>
      <c r="D23" s="285"/>
      <c r="E23" s="148"/>
      <c r="F23" s="291"/>
      <c r="G23" s="291"/>
    </row>
    <row r="24" spans="1:7">
      <c r="B24" s="288"/>
      <c r="C24" s="150"/>
      <c r="D24" s="285"/>
      <c r="E24" s="148"/>
    </row>
    <row r="25" spans="1:7">
      <c r="B25" s="288"/>
      <c r="C25" s="150"/>
      <c r="D25" s="285"/>
      <c r="E25" s="148"/>
    </row>
    <row r="26" spans="1:7">
      <c r="B26" s="288"/>
      <c r="C26" s="150"/>
      <c r="D26" s="285"/>
      <c r="E26" s="148"/>
    </row>
    <row r="27" spans="1:7">
      <c r="B27" s="288"/>
      <c r="C27" s="150"/>
      <c r="D27" s="285"/>
      <c r="E27" s="148"/>
    </row>
    <row r="28" spans="1:7">
      <c r="B28" s="288"/>
      <c r="C28" s="150"/>
      <c r="D28" s="285"/>
      <c r="E28" s="148"/>
    </row>
    <row r="29" spans="1:7">
      <c r="B29" s="289"/>
      <c r="C29" s="151"/>
      <c r="D29" s="286"/>
      <c r="E29" s="148"/>
    </row>
  </sheetData>
  <mergeCells count="5">
    <mergeCell ref="A8:D10"/>
    <mergeCell ref="A15:D15"/>
    <mergeCell ref="D18:D29"/>
    <mergeCell ref="B18:B29"/>
    <mergeCell ref="F18:G2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3:K17"/>
  <sheetViews>
    <sheetView workbookViewId="0">
      <selection activeCell="H5" sqref="H5"/>
    </sheetView>
  </sheetViews>
  <sheetFormatPr defaultColWidth="8.85546875" defaultRowHeight="15"/>
  <cols>
    <col min="1" max="1" width="17.28515625" bestFit="1" customWidth="1"/>
    <col min="2" max="2" width="17.28515625" style="102" customWidth="1"/>
    <col min="3" max="3" width="17.28515625" style="105" customWidth="1"/>
    <col min="4" max="5" width="17.28515625" customWidth="1"/>
    <col min="6" max="6" width="18.7109375" style="2" customWidth="1"/>
    <col min="7" max="7" width="18.7109375" style="98" customWidth="1"/>
    <col min="8" max="8" width="16.28515625" bestFit="1" customWidth="1"/>
    <col min="9" max="9" width="12.7109375" style="74" customWidth="1"/>
  </cols>
  <sheetData>
    <row r="3" spans="1:11" s="72" customFormat="1" ht="66" customHeight="1">
      <c r="A3" s="73" t="s">
        <v>6</v>
      </c>
      <c r="B3" s="100" t="s">
        <v>53</v>
      </c>
      <c r="C3" s="103" t="s">
        <v>55</v>
      </c>
      <c r="D3" s="73" t="s">
        <v>7</v>
      </c>
      <c r="E3" s="73" t="s">
        <v>8</v>
      </c>
      <c r="F3" s="97" t="s">
        <v>66</v>
      </c>
      <c r="G3" s="99" t="s">
        <v>67</v>
      </c>
      <c r="H3" s="72" t="s">
        <v>56</v>
      </c>
      <c r="I3" s="75" t="s">
        <v>57</v>
      </c>
      <c r="J3" s="72" t="s">
        <v>68</v>
      </c>
      <c r="K3" s="72" t="s">
        <v>69</v>
      </c>
    </row>
    <row r="4" spans="1:11" ht="26.25" customHeight="1">
      <c r="A4" s="173" t="s">
        <v>21</v>
      </c>
      <c r="B4" s="101">
        <v>4.3999999999999997E-2</v>
      </c>
      <c r="C4" s="104">
        <v>0.12</v>
      </c>
      <c r="D4" s="173">
        <v>1</v>
      </c>
      <c r="E4" s="173">
        <v>3</v>
      </c>
      <c r="F4" s="106">
        <v>2</v>
      </c>
      <c r="G4" s="98">
        <f>(F4/72)</f>
        <v>2.7777777777777776E-2</v>
      </c>
      <c r="H4" s="74">
        <f>'Colorectal Benefit'!$F$16</f>
        <v>17293.082565880046</v>
      </c>
      <c r="I4" s="74">
        <f>'Colorectal Benefit'!$R$15</f>
        <v>1441.3781090124412</v>
      </c>
    </row>
    <row r="5" spans="1:11">
      <c r="A5" s="173" t="s">
        <v>23</v>
      </c>
      <c r="B5" s="101">
        <v>0.25800000000000001</v>
      </c>
      <c r="C5" s="104">
        <v>0.3</v>
      </c>
      <c r="D5" s="173">
        <v>1</v>
      </c>
      <c r="E5" s="173">
        <v>3</v>
      </c>
      <c r="F5" s="106">
        <v>2</v>
      </c>
      <c r="G5" s="98">
        <f t="shared" ref="G5:G16" si="0">(F5/72)</f>
        <v>2.7777777777777776E-2</v>
      </c>
      <c r="H5" s="74">
        <f>'Heart Disease Benefit'!$G$16</f>
        <v>5775.2181929014514</v>
      </c>
      <c r="I5" s="74">
        <f>'Heart Disease Benefit'!$S$16</f>
        <v>1332.6418077395683</v>
      </c>
    </row>
    <row r="6" spans="1:11">
      <c r="A6" s="173" t="s">
        <v>25</v>
      </c>
      <c r="B6" s="101">
        <v>3.1E-2</v>
      </c>
      <c r="C6" s="104">
        <v>0.27</v>
      </c>
      <c r="D6" s="173">
        <v>0</v>
      </c>
      <c r="E6" s="173">
        <v>4</v>
      </c>
      <c r="F6" s="106">
        <v>4</v>
      </c>
      <c r="G6" s="98">
        <f t="shared" si="0"/>
        <v>5.5555555555555552E-2</v>
      </c>
      <c r="H6" s="74">
        <f>'Stroke Benefits'!$G$18</f>
        <v>26003.011937672796</v>
      </c>
      <c r="I6" s="74">
        <f>'Stroke Benefits'!$U$18</f>
        <v>4265.2771383769777</v>
      </c>
    </row>
    <row r="7" spans="1:11">
      <c r="A7" s="173" t="s">
        <v>15</v>
      </c>
      <c r="B7" s="101">
        <v>0.28999999999999998</v>
      </c>
      <c r="C7" s="104">
        <v>0.45</v>
      </c>
      <c r="D7" s="173">
        <v>0</v>
      </c>
      <c r="E7" s="173">
        <v>4</v>
      </c>
      <c r="F7" s="106">
        <v>4</v>
      </c>
      <c r="G7" s="98">
        <f t="shared" si="0"/>
        <v>5.5555555555555552E-2</v>
      </c>
      <c r="H7" s="74">
        <f>'Hypertension Benefit'!$G$29</f>
        <v>1700.9371327253966</v>
      </c>
      <c r="I7" s="74">
        <f>'Hypertension Benefit'!$S$29</f>
        <v>4903.9041707009201</v>
      </c>
    </row>
    <row r="8" spans="1:11">
      <c r="A8" s="292" t="s">
        <v>60</v>
      </c>
      <c r="B8" s="292"/>
      <c r="C8" s="292"/>
      <c r="D8" s="27"/>
      <c r="E8" s="27"/>
      <c r="F8" s="106"/>
      <c r="H8" s="74"/>
    </row>
    <row r="9" spans="1:11">
      <c r="A9" s="292"/>
      <c r="B9" s="292"/>
      <c r="C9" s="292"/>
      <c r="D9" s="27"/>
      <c r="E9" s="27"/>
      <c r="F9" s="106"/>
      <c r="H9" s="74"/>
    </row>
    <row r="10" spans="1:11">
      <c r="A10" s="292"/>
      <c r="B10" s="292"/>
      <c r="C10" s="292"/>
      <c r="D10" s="27"/>
      <c r="E10" s="27"/>
      <c r="F10" s="106"/>
      <c r="H10" s="74"/>
    </row>
    <row r="11" spans="1:11">
      <c r="A11" s="173" t="s">
        <v>16</v>
      </c>
      <c r="B11" s="101">
        <v>0.245</v>
      </c>
      <c r="C11" s="104">
        <v>0.15</v>
      </c>
      <c r="D11" s="173">
        <v>2</v>
      </c>
      <c r="E11" s="173">
        <v>0</v>
      </c>
      <c r="F11" s="106">
        <v>0</v>
      </c>
      <c r="G11" s="98">
        <f t="shared" si="0"/>
        <v>0</v>
      </c>
      <c r="H11" s="74">
        <f>osteoporosis!$C$35</f>
        <v>85670.525065513924</v>
      </c>
      <c r="I11" s="74">
        <f>osteoporosis!$M$22</f>
        <v>2333.4852399999468</v>
      </c>
    </row>
    <row r="12" spans="1:11">
      <c r="A12" s="173" t="s">
        <v>32</v>
      </c>
      <c r="B12" s="101">
        <v>0.13</v>
      </c>
      <c r="C12" s="104">
        <v>0.51</v>
      </c>
      <c r="D12" s="173">
        <v>2</v>
      </c>
      <c r="E12" s="173">
        <v>2</v>
      </c>
      <c r="F12" s="106">
        <v>2</v>
      </c>
      <c r="G12" s="98">
        <f t="shared" si="0"/>
        <v>2.7777777777777776E-2</v>
      </c>
      <c r="H12" s="74">
        <f>'Type 2 Diabeties'!$C$31</f>
        <v>50777.185201500433</v>
      </c>
      <c r="I12" s="74">
        <f>'Type 2 Diabeties'!$Q$18</f>
        <v>2349.6673112603353</v>
      </c>
    </row>
    <row r="13" spans="1:11">
      <c r="A13" s="173" t="s">
        <v>18</v>
      </c>
      <c r="B13" s="101">
        <v>0.39800000000000002</v>
      </c>
      <c r="C13" s="104">
        <v>0.5</v>
      </c>
      <c r="D13" s="173">
        <v>1</v>
      </c>
      <c r="E13" s="173">
        <v>1</v>
      </c>
      <c r="F13" s="106">
        <v>1</v>
      </c>
      <c r="G13" s="98">
        <f t="shared" si="0"/>
        <v>1.3888888888888888E-2</v>
      </c>
      <c r="H13" s="74">
        <f>Obesity!$C$45</f>
        <v>30080.075037511851</v>
      </c>
      <c r="I13" s="74">
        <f>Obesity!$N$32</f>
        <v>2679.2700404212778</v>
      </c>
    </row>
    <row r="14" spans="1:11">
      <c r="A14" s="173" t="s">
        <v>34</v>
      </c>
      <c r="B14" s="101">
        <v>0.16700000000000001</v>
      </c>
      <c r="C14" s="104">
        <v>1</v>
      </c>
      <c r="D14" s="173">
        <v>4</v>
      </c>
      <c r="E14" s="173">
        <v>4</v>
      </c>
      <c r="F14" s="106">
        <v>2</v>
      </c>
      <c r="G14" s="98">
        <f t="shared" si="0"/>
        <v>2.7777777777777776E-2</v>
      </c>
      <c r="H14" s="74">
        <f>'Foodborne illness'!$C$47</f>
        <v>31322.097401202354</v>
      </c>
      <c r="I14" s="74">
        <f>'Foodborne illness'!$M$34</f>
        <v>1296.1370713710346</v>
      </c>
    </row>
    <row r="15" spans="1:11">
      <c r="A15" s="293" t="s">
        <v>62</v>
      </c>
      <c r="B15" s="293"/>
      <c r="C15" s="293"/>
      <c r="F15" s="106"/>
      <c r="H15" s="74"/>
    </row>
    <row r="16" spans="1:11">
      <c r="A16" s="173" t="s">
        <v>20</v>
      </c>
      <c r="B16" s="101">
        <v>0.68</v>
      </c>
      <c r="C16" s="104">
        <v>0.22</v>
      </c>
      <c r="D16" s="173">
        <v>12</v>
      </c>
      <c r="E16" s="173">
        <v>17</v>
      </c>
      <c r="F16" s="106">
        <v>5</v>
      </c>
      <c r="G16" s="98">
        <f t="shared" si="0"/>
        <v>6.9444444444444448E-2</v>
      </c>
      <c r="H16" s="74">
        <f>'Data &amp; PV'!$G$12</f>
        <v>2539.229198</v>
      </c>
    </row>
    <row r="17" spans="1:8">
      <c r="A17" s="173"/>
      <c r="B17" s="101"/>
      <c r="C17" s="104"/>
      <c r="D17" s="173"/>
      <c r="E17" s="173"/>
      <c r="F17" s="106"/>
      <c r="H17" s="74"/>
    </row>
  </sheetData>
  <mergeCells count="2">
    <mergeCell ref="A8:C10"/>
    <mergeCell ref="A15:C1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23"/>
  <sheetViews>
    <sheetView workbookViewId="0">
      <pane xSplit="1" topLeftCell="D1" activePane="topRight" state="frozen"/>
      <selection pane="topRight" activeCell="G13" sqref="G13"/>
    </sheetView>
  </sheetViews>
  <sheetFormatPr defaultColWidth="9.140625" defaultRowHeight="15"/>
  <cols>
    <col min="1" max="1" width="19.42578125" style="49" customWidth="1"/>
    <col min="2" max="2" width="16.7109375" style="49" customWidth="1"/>
    <col min="3" max="3" width="12.42578125" style="49" customWidth="1"/>
    <col min="4" max="4" width="15.28515625" style="49" customWidth="1"/>
    <col min="5" max="5" width="18.42578125" style="49" customWidth="1"/>
    <col min="6" max="6" width="13.7109375" style="49" customWidth="1"/>
    <col min="7" max="7" width="25.42578125" style="50" customWidth="1"/>
    <col min="8" max="8" width="13.42578125" style="56" customWidth="1"/>
    <col min="9" max="9" width="16.28515625" style="49" customWidth="1"/>
    <col min="10" max="10" width="13.85546875" style="49" customWidth="1"/>
    <col min="11" max="11" width="14.42578125" style="49" customWidth="1"/>
    <col min="12" max="12" width="17.7109375" style="49" bestFit="1" customWidth="1"/>
    <col min="13" max="13" width="9.5703125" style="49" bestFit="1" customWidth="1"/>
    <col min="14" max="16384" width="9.140625" style="49"/>
  </cols>
  <sheetData>
    <row r="1" spans="1:13" s="40" customFormat="1" ht="45" customHeight="1">
      <c r="A1" s="47" t="s">
        <v>6</v>
      </c>
      <c r="B1" s="39" t="s">
        <v>70</v>
      </c>
      <c r="C1" s="39" t="s">
        <v>71</v>
      </c>
      <c r="D1" s="39" t="s">
        <v>72</v>
      </c>
      <c r="E1" s="39" t="s">
        <v>73</v>
      </c>
      <c r="F1" s="39" t="s">
        <v>74</v>
      </c>
      <c r="G1" s="41" t="s">
        <v>75</v>
      </c>
      <c r="H1" s="54" t="s">
        <v>76</v>
      </c>
      <c r="I1" s="39" t="s">
        <v>77</v>
      </c>
      <c r="J1" s="39" t="s">
        <v>78</v>
      </c>
      <c r="K1" s="52" t="s">
        <v>79</v>
      </c>
    </row>
    <row r="2" spans="1:13">
      <c r="A2" s="48" t="s">
        <v>21</v>
      </c>
      <c r="B2" s="48">
        <v>37</v>
      </c>
      <c r="C2" s="48">
        <v>50</v>
      </c>
      <c r="D2" s="48">
        <v>5</v>
      </c>
      <c r="E2" s="48">
        <v>5</v>
      </c>
      <c r="F2" s="48">
        <v>78</v>
      </c>
      <c r="G2" s="109">
        <f>32255*1.078687</f>
        <v>34793.049184999996</v>
      </c>
      <c r="H2" s="55">
        <v>65</v>
      </c>
      <c r="I2" s="175">
        <v>50</v>
      </c>
      <c r="J2" s="51">
        <f>7.25*$I$2*8</f>
        <v>2900</v>
      </c>
      <c r="K2" s="76">
        <f>FIGURES!G4</f>
        <v>1441.3781090124412</v>
      </c>
    </row>
    <row r="3" spans="1:13">
      <c r="A3" s="48" t="s">
        <v>80</v>
      </c>
      <c r="B3" s="48">
        <v>37</v>
      </c>
      <c r="C3" s="48">
        <v>55</v>
      </c>
      <c r="D3" s="48">
        <v>5</v>
      </c>
      <c r="E3" s="48">
        <v>5</v>
      </c>
      <c r="F3" s="48">
        <v>78</v>
      </c>
      <c r="G3" s="109">
        <f>13748*1.078687</f>
        <v>14829.788875999999</v>
      </c>
      <c r="H3" s="55">
        <v>65</v>
      </c>
      <c r="I3" s="83">
        <v>59</v>
      </c>
      <c r="J3" s="51">
        <f>7.25*I3*8</f>
        <v>3422</v>
      </c>
      <c r="K3" s="76">
        <f>FIGURES!G5</f>
        <v>1332.6418077395683</v>
      </c>
    </row>
    <row r="4" spans="1:13">
      <c r="A4" s="48" t="s">
        <v>14</v>
      </c>
      <c r="B4" s="48">
        <v>37</v>
      </c>
      <c r="C4" s="48">
        <v>45</v>
      </c>
      <c r="D4" s="48">
        <v>10</v>
      </c>
      <c r="E4" s="48">
        <v>5</v>
      </c>
      <c r="F4" s="48">
        <v>78</v>
      </c>
      <c r="G4" s="109">
        <f>21307*1.078687</f>
        <v>22983.583908999997</v>
      </c>
      <c r="H4" s="55">
        <v>65</v>
      </c>
      <c r="I4" s="175">
        <v>65</v>
      </c>
      <c r="J4" s="51">
        <f>7.25*I4*8</f>
        <v>3770</v>
      </c>
      <c r="K4" s="76">
        <f>FIGURES!G6</f>
        <v>4265.2771383769777</v>
      </c>
    </row>
    <row r="5" spans="1:13">
      <c r="A5" s="48" t="s">
        <v>15</v>
      </c>
      <c r="B5" s="48">
        <v>37</v>
      </c>
      <c r="C5" s="48">
        <v>41</v>
      </c>
      <c r="D5" s="48">
        <v>20</v>
      </c>
      <c r="E5" s="48">
        <v>5</v>
      </c>
      <c r="F5" s="48">
        <v>78</v>
      </c>
      <c r="G5" s="109">
        <f>746*1.078687</f>
        <v>804.70050199999991</v>
      </c>
      <c r="H5" s="55">
        <v>65</v>
      </c>
      <c r="I5" s="175">
        <v>40</v>
      </c>
      <c r="J5" s="51">
        <f>7.25*I5*8</f>
        <v>2320</v>
      </c>
      <c r="K5" s="76">
        <f>FIGURES!G7</f>
        <v>4903.9041707009201</v>
      </c>
    </row>
    <row r="6" spans="1:13" ht="33" customHeight="1">
      <c r="A6" s="294" t="s">
        <v>28</v>
      </c>
      <c r="B6" s="294"/>
      <c r="C6" s="294"/>
      <c r="D6" s="294"/>
      <c r="E6" s="294"/>
      <c r="F6" s="294"/>
      <c r="G6" s="294"/>
      <c r="H6" s="55"/>
      <c r="I6" s="175"/>
      <c r="J6" s="51"/>
      <c r="K6" s="175"/>
    </row>
    <row r="7" spans="1:13">
      <c r="A7" s="48" t="s">
        <v>16</v>
      </c>
      <c r="B7" s="48">
        <v>37</v>
      </c>
      <c r="C7" s="48">
        <v>50</v>
      </c>
      <c r="D7" s="48"/>
      <c r="E7" s="48"/>
      <c r="F7" s="48">
        <v>78</v>
      </c>
      <c r="G7" s="109">
        <f>9891*1.078687</f>
        <v>10669.293116999999</v>
      </c>
      <c r="H7" s="55">
        <v>65</v>
      </c>
      <c r="I7" s="175">
        <v>7</v>
      </c>
      <c r="J7" s="51">
        <f>7.25*I7*8</f>
        <v>406</v>
      </c>
      <c r="K7" s="76">
        <f>FIGURES!G11</f>
        <v>2333.4852399999468</v>
      </c>
    </row>
    <row r="8" spans="1:13">
      <c r="A8" s="48" t="s">
        <v>81</v>
      </c>
      <c r="B8" s="48">
        <v>37</v>
      </c>
      <c r="C8" s="48">
        <v>54</v>
      </c>
      <c r="D8" s="48"/>
      <c r="E8" s="48"/>
      <c r="F8" s="48">
        <v>78</v>
      </c>
      <c r="G8" s="109">
        <f>8038*1.078687</f>
        <v>8670.4861060000003</v>
      </c>
      <c r="H8" s="55">
        <v>65</v>
      </c>
      <c r="I8" s="175">
        <v>11</v>
      </c>
      <c r="J8" s="51">
        <f>7.25*I8*8</f>
        <v>638</v>
      </c>
      <c r="K8" s="76">
        <f>FIGURES!G12</f>
        <v>2349.6673112603353</v>
      </c>
    </row>
    <row r="9" spans="1:13">
      <c r="A9" s="48" t="s">
        <v>18</v>
      </c>
      <c r="B9" s="48">
        <v>37</v>
      </c>
      <c r="C9" s="48">
        <v>40</v>
      </c>
      <c r="D9" s="48"/>
      <c r="E9" s="48"/>
      <c r="F9" s="48">
        <v>78</v>
      </c>
      <c r="G9" s="109">
        <f>1897*1.078687</f>
        <v>2046.269239</v>
      </c>
      <c r="H9" s="55">
        <v>65</v>
      </c>
      <c r="I9" s="175">
        <v>3.72</v>
      </c>
      <c r="J9" s="51">
        <f>7.25*I9*8</f>
        <v>215.76000000000002</v>
      </c>
      <c r="K9" s="76">
        <f>FIGURES!G13</f>
        <v>2679.2700404212778</v>
      </c>
    </row>
    <row r="10" spans="1:13">
      <c r="A10" s="48" t="s">
        <v>82</v>
      </c>
      <c r="B10" s="48">
        <v>37</v>
      </c>
      <c r="C10" s="48">
        <v>24</v>
      </c>
      <c r="D10" s="48"/>
      <c r="E10" s="48"/>
      <c r="F10" s="48">
        <v>78</v>
      </c>
      <c r="G10" s="109">
        <f>1679*1.078687</f>
        <v>1811.1154729999998</v>
      </c>
      <c r="H10" s="55">
        <v>65</v>
      </c>
      <c r="I10" s="175">
        <v>1.5</v>
      </c>
      <c r="J10" s="51">
        <f>7.25*I10*8</f>
        <v>87</v>
      </c>
      <c r="K10" s="76">
        <f>FIGURES!G14</f>
        <v>1296.1370713710346</v>
      </c>
    </row>
    <row r="11" spans="1:13">
      <c r="A11" s="294" t="s">
        <v>35</v>
      </c>
      <c r="B11" s="294"/>
      <c r="C11" s="294"/>
      <c r="D11" s="294"/>
      <c r="E11" s="294"/>
      <c r="F11" s="294"/>
      <c r="G11" s="294"/>
      <c r="H11" s="55"/>
      <c r="I11" s="175"/>
      <c r="J11" s="51"/>
      <c r="K11" s="76"/>
    </row>
    <row r="12" spans="1:13">
      <c r="A12" s="48" t="s">
        <v>20</v>
      </c>
      <c r="B12" s="48">
        <v>37</v>
      </c>
      <c r="C12" s="48">
        <v>0</v>
      </c>
      <c r="D12" s="48"/>
      <c r="E12" s="48"/>
      <c r="F12" s="48">
        <v>78</v>
      </c>
      <c r="G12" s="109">
        <f>2354*1.078687</f>
        <v>2539.229198</v>
      </c>
      <c r="H12" s="55">
        <v>65</v>
      </c>
      <c r="I12" s="175"/>
      <c r="J12" s="51"/>
      <c r="K12" s="175"/>
    </row>
    <row r="13" spans="1:13">
      <c r="A13" s="48" t="s">
        <v>83</v>
      </c>
      <c r="B13" s="48">
        <v>37</v>
      </c>
      <c r="C13" s="48">
        <v>0</v>
      </c>
      <c r="D13" s="48"/>
      <c r="E13" s="48"/>
      <c r="F13" s="48">
        <v>78</v>
      </c>
      <c r="G13" s="109">
        <f>20209*1.078687</f>
        <v>21799.185582999999</v>
      </c>
      <c r="H13" s="55">
        <v>65</v>
      </c>
      <c r="I13" s="175"/>
      <c r="J13" s="51"/>
      <c r="K13" s="175"/>
    </row>
    <row r="14" spans="1:13">
      <c r="G14" s="296" t="s">
        <v>84</v>
      </c>
    </row>
    <row r="15" spans="1:13">
      <c r="A15" s="84"/>
      <c r="B15" s="85"/>
      <c r="E15" s="86"/>
      <c r="G15" s="297"/>
      <c r="J15" s="87"/>
    </row>
    <row r="16" spans="1:13">
      <c r="G16" s="297"/>
      <c r="L16" s="49" t="s">
        <v>85</v>
      </c>
      <c r="M16" s="110">
        <f>(255.651/237.002)</f>
        <v>1.0786870996869224</v>
      </c>
    </row>
    <row r="17" spans="5:9">
      <c r="G17" s="297"/>
    </row>
    <row r="18" spans="5:9">
      <c r="E18" s="88"/>
      <c r="F18" s="88"/>
      <c r="G18" s="297"/>
      <c r="H18" s="88"/>
    </row>
    <row r="19" spans="5:9">
      <c r="E19" s="88"/>
      <c r="F19" s="88"/>
      <c r="G19" s="297"/>
      <c r="H19" s="88"/>
    </row>
    <row r="20" spans="5:9">
      <c r="E20" s="88"/>
      <c r="F20" s="88"/>
      <c r="G20" s="297"/>
      <c r="H20" s="88"/>
    </row>
    <row r="21" spans="5:9">
      <c r="G21" s="297"/>
    </row>
    <row r="22" spans="5:9">
      <c r="G22" s="297"/>
    </row>
    <row r="23" spans="5:9" ht="43.5" customHeight="1">
      <c r="E23" s="295"/>
      <c r="F23" s="295"/>
      <c r="G23" s="295"/>
      <c r="H23" s="295"/>
      <c r="I23" s="49" t="s">
        <v>86</v>
      </c>
    </row>
  </sheetData>
  <mergeCells count="4">
    <mergeCell ref="A6:G6"/>
    <mergeCell ref="E23:H23"/>
    <mergeCell ref="A11:G11"/>
    <mergeCell ref="G14:G22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W23"/>
  <sheetViews>
    <sheetView zoomScale="106" zoomScaleNormal="106" workbookViewId="0">
      <pane xSplit="11" topLeftCell="M1" activePane="topRight" state="frozen"/>
      <selection pane="topRight" activeCell="C7" sqref="C7:C11"/>
    </sheetView>
  </sheetViews>
  <sheetFormatPr defaultColWidth="8.85546875" defaultRowHeight="15"/>
  <cols>
    <col min="3" max="3" width="15.5703125" style="1" bestFit="1" customWidth="1"/>
    <col min="6" max="6" width="14.5703125" bestFit="1" customWidth="1"/>
    <col min="11" max="11" width="15.5703125" style="1" bestFit="1" customWidth="1"/>
    <col min="15" max="15" width="15" customWidth="1"/>
    <col min="18" max="19" width="10.28515625" bestFit="1" customWidth="1"/>
    <col min="23" max="23" width="10.28515625" customWidth="1"/>
  </cols>
  <sheetData>
    <row r="1" spans="1:23">
      <c r="A1" s="301" t="s">
        <v>87</v>
      </c>
      <c r="B1" s="302"/>
      <c r="C1" s="302"/>
      <c r="D1" s="302"/>
      <c r="E1" s="302"/>
      <c r="F1" s="302"/>
      <c r="G1" s="302"/>
      <c r="H1" s="302"/>
      <c r="I1" s="302"/>
      <c r="J1" s="302"/>
      <c r="K1" s="302"/>
      <c r="L1" s="28"/>
      <c r="M1" s="301" t="s">
        <v>88</v>
      </c>
      <c r="N1" s="302"/>
      <c r="O1" s="302"/>
      <c r="P1" s="302"/>
      <c r="Q1" s="302"/>
      <c r="R1" s="302"/>
      <c r="S1" s="302"/>
      <c r="T1" s="302"/>
      <c r="U1" s="302"/>
      <c r="V1" s="302"/>
      <c r="W1" s="302"/>
    </row>
    <row r="2" spans="1:23">
      <c r="A2" s="303"/>
      <c r="B2" s="304"/>
      <c r="C2" s="304"/>
      <c r="D2" s="304"/>
      <c r="E2" s="304"/>
      <c r="F2" s="304"/>
      <c r="G2" s="304"/>
      <c r="H2" s="304"/>
      <c r="I2" s="304"/>
      <c r="J2" s="304"/>
      <c r="K2" s="304"/>
      <c r="L2" s="28"/>
      <c r="M2" s="303"/>
      <c r="N2" s="304"/>
      <c r="O2" s="304"/>
      <c r="P2" s="304"/>
      <c r="Q2" s="304"/>
      <c r="R2" s="304"/>
      <c r="S2" s="304"/>
      <c r="T2" s="304"/>
      <c r="U2" s="304"/>
      <c r="V2" s="304"/>
      <c r="W2" s="304"/>
    </row>
    <row r="3" spans="1:23" s="3" customFormat="1" ht="26.25" customHeight="1">
      <c r="A3" s="305" t="s">
        <v>89</v>
      </c>
      <c r="B3" s="306"/>
      <c r="C3" s="306"/>
      <c r="D3" s="306"/>
      <c r="E3" s="306"/>
      <c r="F3" s="306"/>
      <c r="G3" s="306"/>
      <c r="H3" s="306"/>
      <c r="I3" s="306"/>
      <c r="J3" s="306"/>
      <c r="K3" s="306"/>
      <c r="L3" s="28"/>
      <c r="M3" s="305" t="s">
        <v>89</v>
      </c>
      <c r="N3" s="306"/>
      <c r="O3" s="306"/>
      <c r="P3" s="306"/>
      <c r="Q3" s="306"/>
      <c r="R3" s="306"/>
      <c r="S3" s="306"/>
      <c r="T3" s="306"/>
      <c r="U3" s="306"/>
      <c r="V3" s="306"/>
      <c r="W3" s="306"/>
    </row>
    <row r="4" spans="1:23" s="3" customFormat="1" ht="45" customHeight="1">
      <c r="A4" s="307" t="s">
        <v>90</v>
      </c>
      <c r="B4" s="307"/>
      <c r="C4" s="308"/>
      <c r="D4" s="9"/>
      <c r="E4" s="9"/>
      <c r="F4" s="9"/>
      <c r="G4" s="10"/>
      <c r="H4" s="10"/>
      <c r="I4" s="309" t="s">
        <v>91</v>
      </c>
      <c r="J4" s="307"/>
      <c r="K4" s="308"/>
      <c r="L4" s="30"/>
      <c r="M4" s="307" t="s">
        <v>92</v>
      </c>
      <c r="N4" s="307"/>
      <c r="O4" s="308"/>
      <c r="P4" s="9"/>
      <c r="Q4" s="9"/>
      <c r="R4" s="9"/>
      <c r="S4" s="10"/>
      <c r="T4" s="10"/>
      <c r="U4" s="309" t="s">
        <v>93</v>
      </c>
      <c r="V4" s="307"/>
      <c r="W4" s="308"/>
    </row>
    <row r="5" spans="1:23">
      <c r="A5" t="s">
        <v>94</v>
      </c>
      <c r="B5" t="s">
        <v>95</v>
      </c>
      <c r="C5" s="1" t="s">
        <v>96</v>
      </c>
      <c r="I5" t="s">
        <v>94</v>
      </c>
      <c r="J5" t="s">
        <v>95</v>
      </c>
      <c r="K5" s="1" t="s">
        <v>96</v>
      </c>
      <c r="L5" s="27"/>
      <c r="M5" s="42" t="s">
        <v>94</v>
      </c>
      <c r="N5" s="43" t="s">
        <v>95</v>
      </c>
      <c r="O5" s="46" t="s">
        <v>96</v>
      </c>
      <c r="U5" s="42" t="s">
        <v>94</v>
      </c>
      <c r="V5" s="43" t="s">
        <v>95</v>
      </c>
      <c r="W5" s="46" t="s">
        <v>96</v>
      </c>
    </row>
    <row r="6" spans="1:23">
      <c r="A6" s="106" t="s">
        <v>97</v>
      </c>
      <c r="B6">
        <v>13</v>
      </c>
      <c r="C6" s="1">
        <f>(0/(1+5%)^'Colorectal Benefit'!B6)</f>
        <v>0</v>
      </c>
      <c r="I6" t="s">
        <v>98</v>
      </c>
      <c r="J6">
        <v>18</v>
      </c>
      <c r="K6" s="1">
        <f>(0/(1+5%)^'Colorectal Benefit'!J6)</f>
        <v>0</v>
      </c>
      <c r="M6" t="s">
        <v>97</v>
      </c>
      <c r="N6">
        <v>13</v>
      </c>
      <c r="O6" s="57">
        <v>0</v>
      </c>
      <c r="U6" t="s">
        <v>98</v>
      </c>
      <c r="V6">
        <v>18</v>
      </c>
      <c r="W6" s="57">
        <v>0</v>
      </c>
    </row>
    <row r="7" spans="1:23">
      <c r="A7" s="106">
        <v>50</v>
      </c>
      <c r="B7">
        <v>14</v>
      </c>
      <c r="C7" s="1">
        <f>('Data &amp; PV'!$G$2/(1+5%)^'Colorectal Benefit'!B7)</f>
        <v>17572.854130340354</v>
      </c>
      <c r="I7">
        <v>55</v>
      </c>
      <c r="J7">
        <v>19</v>
      </c>
      <c r="K7" s="1">
        <f>('Data &amp; PV'!$G$2/(1+5%)^'Colorectal Benefit'!J7)</f>
        <v>13768.791030654998</v>
      </c>
      <c r="M7">
        <v>50</v>
      </c>
      <c r="N7">
        <v>14</v>
      </c>
      <c r="O7" s="57">
        <f>('Data &amp; PV'!$J$2/(1+0.05)^'Colorectal Benefit'!N7)</f>
        <v>1464.6970636870046</v>
      </c>
      <c r="U7">
        <v>55</v>
      </c>
      <c r="V7">
        <v>19</v>
      </c>
      <c r="W7" s="57">
        <f>('Data &amp; PV'!$J$2/(1+5%)^'Colorectal Benefit'!V7)</f>
        <v>1147.6284753482869</v>
      </c>
    </row>
    <row r="8" spans="1:23">
      <c r="A8" s="106">
        <v>51</v>
      </c>
      <c r="B8">
        <v>15</v>
      </c>
      <c r="C8" s="1">
        <f>('Data &amp; PV'!$G$2/(1+5%)^'Colorectal Benefit'!B8)</f>
        <v>16736.051552705092</v>
      </c>
      <c r="I8">
        <v>56</v>
      </c>
      <c r="J8">
        <v>20</v>
      </c>
      <c r="K8" s="1">
        <f>('Data &amp; PV'!$G$2/(1+5%)^'Colorectal Benefit'!J8)</f>
        <v>13113.134314909523</v>
      </c>
      <c r="M8">
        <v>51</v>
      </c>
      <c r="N8">
        <v>15</v>
      </c>
      <c r="O8" s="57">
        <f>('Data &amp; PV'!$J$2/(1+0.05)^'Colorectal Benefit'!N8)</f>
        <v>1394.9495844638136</v>
      </c>
      <c r="U8">
        <v>56</v>
      </c>
      <c r="V8">
        <v>20</v>
      </c>
      <c r="W8" s="57">
        <f>('Data &amp; PV'!$J$2/(1+5%)^'Colorectal Benefit'!V8)</f>
        <v>1092.9795003317017</v>
      </c>
    </row>
    <row r="9" spans="1:23">
      <c r="A9" s="106">
        <v>52</v>
      </c>
      <c r="B9">
        <v>16</v>
      </c>
      <c r="C9" s="1">
        <f>('Data &amp; PV'!$G$2/(1+5%)^'Colorectal Benefit'!B9)</f>
        <v>15939.096716861995</v>
      </c>
      <c r="I9">
        <v>57</v>
      </c>
      <c r="J9">
        <v>21</v>
      </c>
      <c r="K9" s="1">
        <f>('Data &amp; PV'!$G$2/(1+5%)^'Colorectal Benefit'!J9)</f>
        <v>12488.69934753288</v>
      </c>
      <c r="M9">
        <v>52</v>
      </c>
      <c r="N9">
        <v>16</v>
      </c>
      <c r="O9" s="57">
        <f>('Data &amp; PV'!$J$2/(1+0.05)^'Colorectal Benefit'!N9)</f>
        <v>1328.5234137750606</v>
      </c>
      <c r="U9">
        <v>57</v>
      </c>
      <c r="V9">
        <v>21</v>
      </c>
      <c r="W9" s="57">
        <f>('Data &amp; PV'!$J$2/(1+5%)^'Colorectal Benefit'!V9)</f>
        <v>1040.9328574587637</v>
      </c>
    </row>
    <row r="10" spans="1:23">
      <c r="A10" s="106">
        <v>53</v>
      </c>
      <c r="B10">
        <v>17</v>
      </c>
      <c r="C10" s="1">
        <f>('Data &amp; PV'!$G$2/(1+5%)^'Colorectal Benefit'!B10)</f>
        <v>15180.092111297135</v>
      </c>
      <c r="I10">
        <v>58</v>
      </c>
      <c r="J10">
        <v>22</v>
      </c>
      <c r="K10" s="1">
        <f>('Data &amp; PV'!$G$2/(1+5%)^'Colorectal Benefit'!J10)</f>
        <v>11893.999378602743</v>
      </c>
      <c r="M10">
        <v>53</v>
      </c>
      <c r="N10">
        <v>17</v>
      </c>
      <c r="O10" s="57">
        <f>('Data &amp; PV'!$J$2/(1+0.05)^'Colorectal Benefit'!N10)</f>
        <v>1265.2603940714862</v>
      </c>
      <c r="U10">
        <v>58</v>
      </c>
      <c r="V10">
        <v>22</v>
      </c>
      <c r="W10" s="57">
        <f>('Data &amp; PV'!$J$2/(1+5%)^'Colorectal Benefit'!V10)</f>
        <v>991.36462615120342</v>
      </c>
    </row>
    <row r="11" spans="1:23">
      <c r="A11" s="106">
        <v>54</v>
      </c>
      <c r="B11">
        <v>18</v>
      </c>
      <c r="C11" s="1">
        <f>('Data &amp; PV'!$G$2/(1+5%)^'Colorectal Benefit'!B11)</f>
        <v>14457.230582187749</v>
      </c>
      <c r="I11">
        <v>59</v>
      </c>
      <c r="J11">
        <v>23</v>
      </c>
      <c r="K11" s="1">
        <f>('Data &amp; PV'!$G$2/(1+5%)^'Colorectal Benefit'!J11)</f>
        <v>11327.618455812135</v>
      </c>
      <c r="M11">
        <v>54</v>
      </c>
      <c r="N11">
        <v>18</v>
      </c>
      <c r="O11" s="57">
        <f>('Data &amp; PV'!$J$2/(1+0.05)^'Colorectal Benefit'!N11)</f>
        <v>1205.009899115701</v>
      </c>
      <c r="U11">
        <v>59</v>
      </c>
      <c r="V11">
        <v>23</v>
      </c>
      <c r="W11" s="57">
        <f>('Data &amp; PV'!$J$2/(1+5%)^'Colorectal Benefit'!V11)</f>
        <v>944.15678681066981</v>
      </c>
    </row>
    <row r="12" spans="1:23" s="3" customFormat="1">
      <c r="A12" s="177" t="s">
        <v>99</v>
      </c>
      <c r="B12" s="177"/>
      <c r="C12" s="4">
        <f>SUM(C6:C11)</f>
        <v>79885.325093392326</v>
      </c>
      <c r="I12" s="177" t="s">
        <v>99</v>
      </c>
      <c r="J12" s="177"/>
      <c r="K12" s="4">
        <f>SUM(K6:K11)</f>
        <v>62592.242527512281</v>
      </c>
      <c r="M12" s="298" t="s">
        <v>99</v>
      </c>
      <c r="N12" s="298"/>
      <c r="O12" s="58">
        <f>SUM(O6:O11)</f>
        <v>6658.4403551130663</v>
      </c>
      <c r="U12" s="298" t="s">
        <v>99</v>
      </c>
      <c r="V12" s="298"/>
      <c r="W12" s="58">
        <f>SUM(W6:W11)</f>
        <v>5217.0622461006251</v>
      </c>
    </row>
    <row r="13" spans="1:23">
      <c r="O13" s="57"/>
      <c r="W13" s="57"/>
    </row>
    <row r="14" spans="1:23" ht="15.75" thickBot="1">
      <c r="O14" s="57"/>
      <c r="W14" s="57"/>
    </row>
    <row r="15" spans="1:23" ht="15.75" thickBot="1">
      <c r="O15" s="299" t="s">
        <v>100</v>
      </c>
      <c r="P15" s="300"/>
      <c r="Q15" s="300"/>
      <c r="R15" s="178">
        <f>O12-W12</f>
        <v>1441.3781090124412</v>
      </c>
      <c r="W15" s="57"/>
    </row>
    <row r="16" spans="1:23" ht="15.75" thickBot="1">
      <c r="C16" s="299" t="s">
        <v>101</v>
      </c>
      <c r="D16" s="300"/>
      <c r="E16" s="300"/>
      <c r="F16" s="53">
        <f>C12-K12</f>
        <v>17293.082565880046</v>
      </c>
      <c r="O16" s="57"/>
      <c r="W16" s="57"/>
    </row>
    <row r="17" spans="13:23" ht="16.5" customHeight="1">
      <c r="O17" s="57"/>
      <c r="W17" s="57"/>
    </row>
    <row r="18" spans="13:23">
      <c r="O18" s="57"/>
      <c r="U18" s="298"/>
      <c r="V18" s="298"/>
      <c r="W18" s="57"/>
    </row>
    <row r="19" spans="13:23">
      <c r="O19" s="57"/>
    </row>
    <row r="20" spans="13:23">
      <c r="O20" s="57"/>
    </row>
    <row r="21" spans="13:23">
      <c r="O21" s="57"/>
    </row>
    <row r="22" spans="13:23">
      <c r="O22" s="57"/>
      <c r="S22" s="57"/>
    </row>
    <row r="23" spans="13:23">
      <c r="M23" s="298"/>
      <c r="N23" s="298"/>
      <c r="O23" s="57"/>
    </row>
  </sheetData>
  <mergeCells count="14">
    <mergeCell ref="C16:E16"/>
    <mergeCell ref="A4:C4"/>
    <mergeCell ref="I4:K4"/>
    <mergeCell ref="A1:K2"/>
    <mergeCell ref="A3:K3"/>
    <mergeCell ref="M23:N23"/>
    <mergeCell ref="M12:N12"/>
    <mergeCell ref="U12:V12"/>
    <mergeCell ref="O15:Q15"/>
    <mergeCell ref="M1:W2"/>
    <mergeCell ref="M3:W3"/>
    <mergeCell ref="M4:O4"/>
    <mergeCell ref="U4:W4"/>
    <mergeCell ref="U18:V18"/>
  </mergeCells>
  <pageMargins left="0.7" right="0.7" top="0.75" bottom="0.75" header="0.3" footer="0.3"/>
  <pageSetup orientation="portrait" verticalDpi="1200" r:id="rId1"/>
  <tableParts count="2">
    <tablePart r:id="rId2"/>
    <tablePart r:id="rId3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A16"/>
  <sheetViews>
    <sheetView topLeftCell="G1" workbookViewId="0">
      <selection activeCell="W7" sqref="W7:W11"/>
    </sheetView>
  </sheetViews>
  <sheetFormatPr defaultColWidth="8.85546875" defaultRowHeight="15"/>
  <cols>
    <col min="3" max="3" width="13.85546875" style="1" bestFit="1" customWidth="1"/>
    <col min="7" max="7" width="13.85546875" bestFit="1" customWidth="1"/>
    <col min="11" max="11" width="13.85546875" style="1" bestFit="1" customWidth="1"/>
    <col min="15" max="15" width="9.140625" bestFit="1" customWidth="1"/>
    <col min="19" max="19" width="9.28515625" bestFit="1" customWidth="1"/>
    <col min="23" max="23" width="9.140625" bestFit="1" customWidth="1"/>
  </cols>
  <sheetData>
    <row r="1" spans="1:27">
      <c r="A1" s="301" t="s">
        <v>102</v>
      </c>
      <c r="B1" s="302"/>
      <c r="C1" s="302"/>
      <c r="D1" s="302"/>
      <c r="E1" s="302"/>
      <c r="F1" s="302"/>
      <c r="G1" s="302"/>
      <c r="H1" s="302"/>
      <c r="I1" s="302"/>
      <c r="J1" s="302"/>
      <c r="K1" s="314"/>
      <c r="M1" s="301" t="s">
        <v>103</v>
      </c>
      <c r="N1" s="302"/>
      <c r="O1" s="302"/>
      <c r="P1" s="302"/>
      <c r="Q1" s="302"/>
      <c r="R1" s="302"/>
      <c r="S1" s="302"/>
      <c r="T1" s="302"/>
      <c r="U1" s="302"/>
      <c r="V1" s="302"/>
      <c r="W1" s="302"/>
    </row>
    <row r="2" spans="1:27">
      <c r="A2" s="303"/>
      <c r="B2" s="304"/>
      <c r="C2" s="304"/>
      <c r="D2" s="304"/>
      <c r="E2" s="304"/>
      <c r="F2" s="304"/>
      <c r="G2" s="304"/>
      <c r="H2" s="304"/>
      <c r="I2" s="304"/>
      <c r="J2" s="304"/>
      <c r="K2" s="315"/>
      <c r="M2" s="303"/>
      <c r="N2" s="304"/>
      <c r="O2" s="304"/>
      <c r="P2" s="304"/>
      <c r="Q2" s="304"/>
      <c r="R2" s="304"/>
      <c r="S2" s="304"/>
      <c r="T2" s="304"/>
      <c r="U2" s="304"/>
      <c r="V2" s="304"/>
      <c r="W2" s="304"/>
    </row>
    <row r="3" spans="1:27" s="3" customFormat="1">
      <c r="A3" s="301" t="s">
        <v>89</v>
      </c>
      <c r="B3" s="302"/>
      <c r="C3" s="302"/>
      <c r="D3" s="302"/>
      <c r="E3" s="302"/>
      <c r="F3" s="302"/>
      <c r="G3" s="302"/>
      <c r="H3" s="302"/>
      <c r="I3" s="302"/>
      <c r="J3" s="302"/>
      <c r="K3" s="314"/>
      <c r="M3" s="305" t="s">
        <v>89</v>
      </c>
      <c r="N3" s="306"/>
      <c r="O3" s="306"/>
      <c r="P3" s="306"/>
      <c r="Q3" s="306"/>
      <c r="R3" s="306"/>
      <c r="S3" s="306"/>
      <c r="T3" s="306"/>
      <c r="U3" s="306"/>
      <c r="V3" s="306"/>
      <c r="W3" s="306"/>
    </row>
    <row r="4" spans="1:27" s="3" customFormat="1" ht="52.5" customHeight="1">
      <c r="A4" s="307" t="s">
        <v>104</v>
      </c>
      <c r="B4" s="307"/>
      <c r="C4" s="308"/>
      <c r="D4" s="9"/>
      <c r="E4" s="9"/>
      <c r="F4" s="9"/>
      <c r="G4" s="10"/>
      <c r="H4" s="10"/>
      <c r="I4" s="309" t="s">
        <v>105</v>
      </c>
      <c r="J4" s="307"/>
      <c r="K4" s="307"/>
      <c r="L4" s="6"/>
      <c r="M4" s="310" t="s">
        <v>106</v>
      </c>
      <c r="N4" s="310"/>
      <c r="O4" s="311"/>
      <c r="P4" s="9"/>
      <c r="Q4" s="9"/>
      <c r="R4" s="9"/>
      <c r="S4" s="10"/>
      <c r="T4" s="10"/>
      <c r="U4" s="309" t="s">
        <v>107</v>
      </c>
      <c r="V4" s="307"/>
      <c r="W4" s="308"/>
    </row>
    <row r="5" spans="1:27">
      <c r="A5" t="s">
        <v>94</v>
      </c>
      <c r="B5" t="s">
        <v>95</v>
      </c>
      <c r="C5" s="1" t="s">
        <v>96</v>
      </c>
      <c r="I5" t="s">
        <v>94</v>
      </c>
      <c r="J5" t="s">
        <v>95</v>
      </c>
      <c r="K5" s="1" t="s">
        <v>96</v>
      </c>
      <c r="M5" t="s">
        <v>94</v>
      </c>
      <c r="N5" t="s">
        <v>95</v>
      </c>
      <c r="O5" s="1" t="s">
        <v>96</v>
      </c>
      <c r="U5" t="s">
        <v>94</v>
      </c>
      <c r="V5" t="s">
        <v>95</v>
      </c>
      <c r="W5" s="1" t="s">
        <v>96</v>
      </c>
    </row>
    <row r="6" spans="1:27">
      <c r="A6" t="s">
        <v>98</v>
      </c>
      <c r="B6">
        <v>18</v>
      </c>
      <c r="C6" s="1">
        <f>(0/(1+5%)^'Heart Disease Benefit'!B6)</f>
        <v>0</v>
      </c>
      <c r="I6" t="s">
        <v>108</v>
      </c>
      <c r="J6">
        <v>23</v>
      </c>
      <c r="K6" s="1">
        <f>(0/(1+5%)^'Heart Disease Benefit'!J6)</f>
        <v>0</v>
      </c>
      <c r="M6" t="s">
        <v>98</v>
      </c>
      <c r="N6">
        <v>18</v>
      </c>
      <c r="O6" s="1">
        <f>(0/(1+5%)^tangheart13[[#This Row],[year]])</f>
        <v>0</v>
      </c>
      <c r="U6" t="s">
        <v>108</v>
      </c>
      <c r="V6">
        <v>23</v>
      </c>
      <c r="W6" s="1">
        <f>(0/(1+5%)^tangheart14[[#This Row],[year]])</f>
        <v>0</v>
      </c>
    </row>
    <row r="7" spans="1:27">
      <c r="A7">
        <v>55</v>
      </c>
      <c r="B7">
        <v>19</v>
      </c>
      <c r="C7" s="1">
        <f>('Data &amp; PV'!$G$3/(1+5%)^'Heart Disease Benefit'!B7)</f>
        <v>5868.6510336209867</v>
      </c>
      <c r="I7">
        <v>60</v>
      </c>
      <c r="J7">
        <v>24</v>
      </c>
      <c r="K7" s="1">
        <f>('Data &amp; PV'!$G$3/(1+5%)^'Heart Disease Benefit'!J7)</f>
        <v>4598.241646714212</v>
      </c>
      <c r="M7">
        <v>55</v>
      </c>
      <c r="N7">
        <v>19</v>
      </c>
      <c r="O7" s="1">
        <f>('Data &amp; PV'!$J$3/(1+5%)^tangheart13[[#This Row],[year]])</f>
        <v>1354.2016009109784</v>
      </c>
      <c r="U7">
        <v>60</v>
      </c>
      <c r="V7">
        <v>24</v>
      </c>
      <c r="W7" s="1">
        <f>('Data &amp; PV'!$J$3/(1+5%)^tangheart14[[#This Row],[year]])</f>
        <v>1061.0523889872291</v>
      </c>
    </row>
    <row r="8" spans="1:27">
      <c r="A8">
        <v>56</v>
      </c>
      <c r="B8">
        <v>20</v>
      </c>
      <c r="C8" s="1">
        <f>('Data &amp; PV'!$G$3/(1+5%)^'Heart Disease Benefit'!B8)</f>
        <v>5589.1914605914162</v>
      </c>
      <c r="I8">
        <v>61</v>
      </c>
      <c r="J8">
        <v>25</v>
      </c>
      <c r="K8" s="1">
        <f>('Data &amp; PV'!$G$3/(1+5%)^'Heart Disease Benefit'!J8)</f>
        <v>4379.2777587754399</v>
      </c>
      <c r="M8">
        <v>56</v>
      </c>
      <c r="N8">
        <v>20</v>
      </c>
      <c r="O8" s="1">
        <f>('Data &amp; PV'!$J$3/(1+5%)^tangheart13[[#This Row],[year]])</f>
        <v>1289.715810391408</v>
      </c>
      <c r="U8">
        <v>61</v>
      </c>
      <c r="V8">
        <v>25</v>
      </c>
      <c r="W8" s="1">
        <f>('Data &amp; PV'!$J$3/(1+5%)^tangheart14[[#This Row],[year]])</f>
        <v>1010.5260847497419</v>
      </c>
    </row>
    <row r="9" spans="1:27">
      <c r="A9">
        <v>57</v>
      </c>
      <c r="B9">
        <v>21</v>
      </c>
      <c r="C9" s="1">
        <f>('Data &amp; PV'!$G$3/(1+5%)^'Heart Disease Benefit'!B9)</f>
        <v>5323.0394862775393</v>
      </c>
      <c r="I9">
        <v>62</v>
      </c>
      <c r="J9">
        <v>26</v>
      </c>
      <c r="K9" s="1">
        <f>('Data &amp; PV'!$G$3/(1+5%)^'Heart Disease Benefit'!J9)</f>
        <v>4170.7407226432761</v>
      </c>
      <c r="M9">
        <v>57</v>
      </c>
      <c r="N9">
        <v>21</v>
      </c>
      <c r="O9" s="1">
        <f>('Data &amp; PV'!$J$3/(1+5%)^tangheart13[[#This Row],[year]])</f>
        <v>1228.3007718013409</v>
      </c>
      <c r="U9">
        <v>62</v>
      </c>
      <c r="V9">
        <v>26</v>
      </c>
      <c r="W9" s="1">
        <f>('Data &amp; PV'!$J$3/(1+5%)^tangheart14[[#This Row],[year]])</f>
        <v>962.40579499975422</v>
      </c>
    </row>
    <row r="10" spans="1:27">
      <c r="A10">
        <v>58</v>
      </c>
      <c r="B10">
        <v>22</v>
      </c>
      <c r="C10" s="1">
        <f>('Data &amp; PV'!$G$3/(1+5%)^'Heart Disease Benefit'!B10)</f>
        <v>5069.5614155024186</v>
      </c>
      <c r="I10">
        <v>63</v>
      </c>
      <c r="J10">
        <v>27</v>
      </c>
      <c r="K10" s="1">
        <f>('Data &amp; PV'!$G$3/(1+5%)^'Heart Disease Benefit'!J10)</f>
        <v>3972.1340215650243</v>
      </c>
      <c r="M10">
        <v>58</v>
      </c>
      <c r="N10">
        <v>22</v>
      </c>
      <c r="O10" s="1">
        <f>('Data &amp; PV'!$J$3/(1+5%)^tangheart13[[#This Row],[year]])</f>
        <v>1169.8102588584202</v>
      </c>
      <c r="U10">
        <v>63</v>
      </c>
      <c r="V10">
        <v>27</v>
      </c>
      <c r="W10" s="1">
        <f>('Data &amp; PV'!$J$3/(1+5%)^tangheart14[[#This Row],[year]])</f>
        <v>916.57694761881339</v>
      </c>
    </row>
    <row r="11" spans="1:27">
      <c r="A11">
        <v>59</v>
      </c>
      <c r="B11">
        <v>23</v>
      </c>
      <c r="C11" s="1">
        <f>('Data &amp; PV'!$G$3/(1+5%)^'Heart Disease Benefit'!B11)</f>
        <v>4828.1537290499218</v>
      </c>
      <c r="I11">
        <v>64</v>
      </c>
      <c r="J11">
        <v>28</v>
      </c>
      <c r="K11" s="1">
        <f>('Data &amp; PV'!$G$3/(1+5%)^'Heart Disease Benefit'!J11)</f>
        <v>3782.9847824428807</v>
      </c>
      <c r="M11">
        <v>59</v>
      </c>
      <c r="N11">
        <v>23</v>
      </c>
      <c r="O11" s="1">
        <f>('Data &amp; PV'!$J$3/(1+5%)^tangheart13[[#This Row],[year]])</f>
        <v>1114.1050084365904</v>
      </c>
      <c r="U11">
        <v>64</v>
      </c>
      <c r="V11">
        <v>28</v>
      </c>
      <c r="W11" s="1">
        <f>('Data &amp; PV'!$J$3/(1+5%)^tangheart14[[#This Row],[year]])</f>
        <v>872.93042630363198</v>
      </c>
    </row>
    <row r="12" spans="1:27" s="3" customFormat="1">
      <c r="A12" s="177" t="s">
        <v>99</v>
      </c>
      <c r="B12" s="177"/>
      <c r="C12" s="4">
        <f>SUM(C6:C11)</f>
        <v>26678.597125042284</v>
      </c>
      <c r="I12" s="177" t="s">
        <v>99</v>
      </c>
      <c r="J12" s="177"/>
      <c r="K12" s="4">
        <f>SUM(K6:K11)</f>
        <v>20903.378932140833</v>
      </c>
      <c r="M12" s="177" t="s">
        <v>99</v>
      </c>
      <c r="N12" s="177"/>
      <c r="O12" s="4">
        <f>SUM(O6:O11)</f>
        <v>6156.1334503987382</v>
      </c>
      <c r="U12" s="177" t="s">
        <v>99</v>
      </c>
      <c r="V12" s="177"/>
      <c r="W12" s="4">
        <f>SUM(W6:W11)</f>
        <v>4823.4916426591699</v>
      </c>
    </row>
    <row r="13" spans="1:27">
      <c r="G13" s="79"/>
      <c r="H13" s="89"/>
      <c r="I13" s="79"/>
      <c r="J13" s="79"/>
      <c r="K13" s="79"/>
      <c r="L13" s="79"/>
      <c r="M13" s="79"/>
      <c r="N13" s="79"/>
    </row>
    <row r="14" spans="1:27">
      <c r="G14" s="79"/>
      <c r="H14" s="79"/>
      <c r="I14" s="79"/>
      <c r="J14" s="79"/>
      <c r="K14" s="89"/>
      <c r="L14" s="79"/>
      <c r="M14" s="79"/>
      <c r="U14" s="79"/>
      <c r="V14" s="89"/>
      <c r="W14" s="79"/>
      <c r="X14" s="79"/>
      <c r="Y14" s="79"/>
      <c r="Z14" s="79"/>
      <c r="AA14" s="79"/>
    </row>
    <row r="15" spans="1:27" ht="15.75" thickBot="1">
      <c r="U15" s="79"/>
      <c r="V15" s="79"/>
      <c r="W15" s="79"/>
      <c r="X15" s="79"/>
      <c r="Y15" s="89"/>
      <c r="Z15" s="79"/>
      <c r="AA15" s="79"/>
    </row>
    <row r="16" spans="1:27" ht="15.75" thickBot="1">
      <c r="D16" s="312" t="s">
        <v>101</v>
      </c>
      <c r="E16" s="313"/>
      <c r="F16" s="313"/>
      <c r="G16" s="53">
        <f>C12-K12</f>
        <v>5775.2181929014514</v>
      </c>
      <c r="P16" s="312" t="s">
        <v>109</v>
      </c>
      <c r="Q16" s="313"/>
      <c r="R16" s="313"/>
      <c r="S16" s="53">
        <f>O12-W12</f>
        <v>1332.6418077395683</v>
      </c>
    </row>
  </sheetData>
  <mergeCells count="10">
    <mergeCell ref="A1:K2"/>
    <mergeCell ref="I4:K4"/>
    <mergeCell ref="A4:C4"/>
    <mergeCell ref="A3:K3"/>
    <mergeCell ref="D16:F16"/>
    <mergeCell ref="M1:W2"/>
    <mergeCell ref="M3:W3"/>
    <mergeCell ref="M4:O4"/>
    <mergeCell ref="U4:W4"/>
    <mergeCell ref="P16:R16"/>
  </mergeCells>
  <pageMargins left="0.7" right="0.7" top="0.75" bottom="0.75" header="0.3" footer="0.3"/>
  <pageSetup orientation="portrait" horizontalDpi="1200" verticalDpi="1200" r:id="rId1"/>
  <tableParts count="4">
    <tablePart r:id="rId2"/>
    <tablePart r:id="rId3"/>
    <tablePart r:id="rId4"/>
    <tablePart r:id="rId5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X25"/>
  <sheetViews>
    <sheetView zoomScale="80" zoomScaleNormal="80" workbookViewId="0">
      <pane xSplit="11" topLeftCell="O1" activePane="topRight" state="frozen"/>
      <selection pane="topRight" activeCell="P11" sqref="P11"/>
    </sheetView>
  </sheetViews>
  <sheetFormatPr defaultColWidth="8.85546875" defaultRowHeight="15"/>
  <cols>
    <col min="1" max="1" width="17.140625" customWidth="1"/>
    <col min="2" max="2" width="11" customWidth="1"/>
    <col min="3" max="3" width="15.85546875" style="1" bestFit="1" customWidth="1"/>
    <col min="4" max="6" width="11" customWidth="1"/>
    <col min="7" max="7" width="14.85546875" bestFit="1" customWidth="1"/>
    <col min="11" max="11" width="15.85546875" style="1" bestFit="1" customWidth="1"/>
    <col min="16" max="16" width="12" bestFit="1" customWidth="1"/>
    <col min="17" max="17" width="9.140625" customWidth="1"/>
    <col min="19" max="19" width="9.85546875" bestFit="1" customWidth="1"/>
    <col min="21" max="21" width="13" bestFit="1" customWidth="1"/>
    <col min="24" max="24" width="12" bestFit="1" customWidth="1"/>
  </cols>
  <sheetData>
    <row r="1" spans="1:24">
      <c r="A1" s="301" t="s">
        <v>110</v>
      </c>
      <c r="B1" s="302"/>
      <c r="C1" s="302" t="s">
        <v>111</v>
      </c>
      <c r="D1" s="302" t="s">
        <v>112</v>
      </c>
      <c r="E1" s="302"/>
      <c r="F1" s="302"/>
      <c r="G1" s="302"/>
      <c r="H1" s="302"/>
      <c r="I1" s="302"/>
      <c r="J1" s="302"/>
      <c r="K1" s="302"/>
      <c r="L1" s="316"/>
      <c r="M1" s="27"/>
      <c r="N1" s="301" t="s">
        <v>113</v>
      </c>
      <c r="O1" s="302"/>
      <c r="P1" s="302"/>
      <c r="Q1" s="302"/>
      <c r="R1" s="302"/>
      <c r="S1" s="302"/>
      <c r="T1" s="302"/>
      <c r="U1" s="302"/>
      <c r="V1" s="302"/>
      <c r="W1" s="302"/>
      <c r="X1" s="302"/>
    </row>
    <row r="2" spans="1:24">
      <c r="A2" s="303"/>
      <c r="B2" s="304"/>
      <c r="C2" s="304"/>
      <c r="D2" s="304"/>
      <c r="E2" s="304"/>
      <c r="F2" s="304"/>
      <c r="G2" s="304"/>
      <c r="H2" s="304"/>
      <c r="I2" s="304"/>
      <c r="J2" s="304"/>
      <c r="K2" s="304"/>
      <c r="L2" s="316"/>
      <c r="M2" s="27"/>
      <c r="N2" s="303"/>
      <c r="O2" s="304"/>
      <c r="P2" s="304"/>
      <c r="Q2" s="304"/>
      <c r="R2" s="304"/>
      <c r="S2" s="304"/>
      <c r="T2" s="304"/>
      <c r="U2" s="304"/>
      <c r="V2" s="304"/>
      <c r="W2" s="304"/>
      <c r="X2" s="304"/>
    </row>
    <row r="3" spans="1:24" s="3" customFormat="1">
      <c r="A3" s="301" t="s">
        <v>89</v>
      </c>
      <c r="B3" s="302"/>
      <c r="C3" s="302"/>
      <c r="D3" s="302"/>
      <c r="E3" s="302"/>
      <c r="F3" s="302"/>
      <c r="G3" s="302"/>
      <c r="H3" s="302"/>
      <c r="I3" s="302"/>
      <c r="J3" s="302"/>
      <c r="K3" s="302"/>
      <c r="L3" s="180"/>
      <c r="M3" s="29"/>
      <c r="N3" s="305" t="s">
        <v>89</v>
      </c>
      <c r="O3" s="306"/>
      <c r="P3" s="306"/>
      <c r="Q3" s="306"/>
      <c r="R3" s="306"/>
      <c r="S3" s="306"/>
      <c r="T3" s="306"/>
      <c r="U3" s="306"/>
      <c r="V3" s="306"/>
      <c r="W3" s="306"/>
      <c r="X3" s="306"/>
    </row>
    <row r="4" spans="1:24" s="3" customFormat="1" ht="45.75" customHeight="1">
      <c r="A4" s="317" t="s">
        <v>114</v>
      </c>
      <c r="B4" s="318"/>
      <c r="C4" s="319"/>
      <c r="D4" s="44"/>
      <c r="E4" s="44"/>
      <c r="F4" s="44"/>
      <c r="G4" s="45"/>
      <c r="H4" s="45"/>
      <c r="I4" s="320" t="s">
        <v>115</v>
      </c>
      <c r="J4" s="318"/>
      <c r="K4" s="319"/>
      <c r="L4" s="182"/>
      <c r="M4" s="29"/>
      <c r="N4" s="307" t="s">
        <v>116</v>
      </c>
      <c r="O4" s="307"/>
      <c r="P4" s="308"/>
      <c r="Q4" s="9"/>
      <c r="R4" s="9"/>
      <c r="S4" s="9"/>
      <c r="T4" s="10"/>
      <c r="U4" s="10"/>
      <c r="V4" s="309" t="s">
        <v>117</v>
      </c>
      <c r="W4" s="307"/>
      <c r="X4" s="308"/>
    </row>
    <row r="5" spans="1:24">
      <c r="A5" s="18" t="s">
        <v>94</v>
      </c>
      <c r="B5" s="18" t="s">
        <v>95</v>
      </c>
      <c r="C5" s="19" t="s">
        <v>96</v>
      </c>
      <c r="D5" s="24"/>
      <c r="E5" s="25"/>
      <c r="F5" s="25"/>
      <c r="G5" s="25"/>
      <c r="H5" s="25"/>
      <c r="I5" s="22" t="s">
        <v>94</v>
      </c>
      <c r="J5" s="22" t="s">
        <v>95</v>
      </c>
      <c r="K5" s="23" t="s">
        <v>96</v>
      </c>
      <c r="L5" s="24"/>
      <c r="M5" s="27"/>
      <c r="N5" s="18" t="s">
        <v>94</v>
      </c>
      <c r="O5" s="18" t="s">
        <v>95</v>
      </c>
      <c r="P5" s="19" t="s">
        <v>96</v>
      </c>
      <c r="V5" s="18" t="s">
        <v>94</v>
      </c>
      <c r="W5" s="18" t="s">
        <v>95</v>
      </c>
      <c r="X5" s="19" t="s">
        <v>96</v>
      </c>
    </row>
    <row r="6" spans="1:24">
      <c r="A6" s="16" t="s">
        <v>118</v>
      </c>
      <c r="B6" s="14">
        <v>8</v>
      </c>
      <c r="C6" s="15">
        <f>(0/(1+5%)^'Colorectal Benefit'!B6)</f>
        <v>0</v>
      </c>
      <c r="D6" s="24"/>
      <c r="E6" s="25"/>
      <c r="F6" s="25"/>
      <c r="G6" s="25"/>
      <c r="H6" s="25"/>
      <c r="I6" t="s">
        <v>97</v>
      </c>
      <c r="J6">
        <v>13</v>
      </c>
      <c r="K6" s="1">
        <f>(0/(1+5%)^J6)</f>
        <v>0</v>
      </c>
      <c r="L6" s="27"/>
      <c r="M6" s="27"/>
      <c r="N6" s="16" t="s">
        <v>118</v>
      </c>
      <c r="O6" s="14">
        <v>8</v>
      </c>
      <c r="P6" s="13">
        <f>(0/(1+5%)^Table95[[#This Row],[year]])</f>
        <v>0</v>
      </c>
      <c r="V6" t="s">
        <v>97</v>
      </c>
      <c r="W6">
        <v>13</v>
      </c>
      <c r="X6" s="15">
        <f>(0/(1+5%)^Table914[[#This Row],[year]])</f>
        <v>0</v>
      </c>
    </row>
    <row r="7" spans="1:24">
      <c r="A7" s="17">
        <v>45</v>
      </c>
      <c r="B7" s="12">
        <v>9</v>
      </c>
      <c r="C7" s="13">
        <f>('Data &amp; PV'!$G$4/(1+5%)^B7)</f>
        <v>14815.423114381292</v>
      </c>
      <c r="D7" s="24"/>
      <c r="E7" s="25"/>
      <c r="F7" s="25"/>
      <c r="G7" s="25"/>
      <c r="H7" s="25"/>
      <c r="I7">
        <v>50</v>
      </c>
      <c r="J7">
        <v>14</v>
      </c>
      <c r="K7" s="1">
        <f>('Data &amp; PV'!$G$4/(1+5%)^J7)</f>
        <v>11608.271677419374</v>
      </c>
      <c r="N7" s="17">
        <v>45</v>
      </c>
      <c r="O7" s="12">
        <v>9</v>
      </c>
      <c r="P7" s="13">
        <f>('Data &amp; PV'!$J$4/(1+5%)^Table95[[#This Row],[year]])</f>
        <v>2430.1756141410956</v>
      </c>
      <c r="V7">
        <v>50</v>
      </c>
      <c r="W7">
        <v>14</v>
      </c>
      <c r="X7" s="15">
        <f>('Data &amp; PV'!$J$4/(1+5%)^Table914[[#This Row],[year]])</f>
        <v>1904.106182793106</v>
      </c>
    </row>
    <row r="8" spans="1:24">
      <c r="A8" s="16">
        <v>46</v>
      </c>
      <c r="B8" s="14">
        <v>10</v>
      </c>
      <c r="C8" s="13">
        <f>('Data &amp; PV'!$G$4/(1+5%)^B8)</f>
        <v>14109.92677560123</v>
      </c>
      <c r="D8" s="24"/>
      <c r="E8" s="25"/>
      <c r="F8" s="25"/>
      <c r="G8" s="25"/>
      <c r="H8" s="25"/>
      <c r="I8">
        <v>51</v>
      </c>
      <c r="J8">
        <v>15</v>
      </c>
      <c r="K8" s="1">
        <f>('Data &amp; PV'!$G$4/(1+5%)^J8)</f>
        <v>11055.496835637496</v>
      </c>
      <c r="N8" s="16">
        <v>46</v>
      </c>
      <c r="O8" s="14">
        <v>10</v>
      </c>
      <c r="P8" s="13">
        <f>('Data &amp; PV'!$J$4/(1+5%)^Table95[[#This Row],[year]])</f>
        <v>2314.4529658486626</v>
      </c>
      <c r="V8">
        <v>51</v>
      </c>
      <c r="W8">
        <v>15</v>
      </c>
      <c r="X8" s="15">
        <f>('Data &amp; PV'!$J$4/(1+5%)^Table914[[#This Row],[year]])</f>
        <v>1813.4344598029577</v>
      </c>
    </row>
    <row r="9" spans="1:24">
      <c r="A9" s="17">
        <v>47</v>
      </c>
      <c r="B9" s="12">
        <v>11</v>
      </c>
      <c r="C9" s="13">
        <f>('Data &amp; PV'!$G$4/(1+5%)^B9)</f>
        <v>13438.025500572599</v>
      </c>
      <c r="D9" s="24"/>
      <c r="E9" s="25"/>
      <c r="F9" s="25"/>
      <c r="G9" s="25"/>
      <c r="H9" s="25"/>
      <c r="I9">
        <v>52</v>
      </c>
      <c r="J9">
        <v>16</v>
      </c>
      <c r="K9" s="1">
        <f>('Data &amp; PV'!$G$4/(1+5%)^J9)</f>
        <v>10529.044605369045</v>
      </c>
      <c r="N9" s="17">
        <v>47</v>
      </c>
      <c r="O9" s="12">
        <v>11</v>
      </c>
      <c r="P9" s="13">
        <f>('Data &amp; PV'!$J$4/(1+5%)^Table95[[#This Row],[year]])</f>
        <v>2204.2409198558689</v>
      </c>
      <c r="T9" s="25"/>
      <c r="U9" s="25"/>
      <c r="V9">
        <v>52</v>
      </c>
      <c r="W9">
        <v>16</v>
      </c>
      <c r="X9" s="15">
        <f>('Data &amp; PV'!$J$4/(1+5%)^Table914[[#This Row],[year]])</f>
        <v>1727.0804379075789</v>
      </c>
    </row>
    <row r="10" spans="1:24">
      <c r="A10" s="17">
        <v>48</v>
      </c>
      <c r="B10" s="14">
        <v>12</v>
      </c>
      <c r="C10" s="13">
        <f>('Data &amp; PV'!$G$4/(1+5%)^B10)</f>
        <v>12798.119524354859</v>
      </c>
      <c r="D10" s="24"/>
      <c r="E10" s="25"/>
      <c r="F10" s="25"/>
      <c r="G10" s="25"/>
      <c r="H10" s="25"/>
      <c r="I10">
        <v>53</v>
      </c>
      <c r="J10">
        <v>17</v>
      </c>
      <c r="K10" s="1">
        <f>('Data &amp; PV'!$G$4/(1+5%)^J10)</f>
        <v>10027.661528922898</v>
      </c>
      <c r="N10" s="17">
        <v>48</v>
      </c>
      <c r="O10" s="14">
        <v>12</v>
      </c>
      <c r="P10" s="13">
        <f>('Data &amp; PV'!$J$4/(1+5%)^Table95[[#This Row],[year]])</f>
        <v>2099.2770665293992</v>
      </c>
      <c r="T10" s="25"/>
      <c r="U10" s="25"/>
      <c r="V10">
        <v>53</v>
      </c>
      <c r="W10">
        <v>17</v>
      </c>
      <c r="X10" s="15">
        <f>('Data &amp; PV'!$J$4/(1+5%)^Table914[[#This Row],[year]])</f>
        <v>1644.8385122929319</v>
      </c>
    </row>
    <row r="11" spans="1:24">
      <c r="A11" s="16">
        <v>49</v>
      </c>
      <c r="B11" s="12">
        <v>13</v>
      </c>
      <c r="C11" s="13">
        <f>('Data &amp; PV'!$G$4/(1+5%)^B11)</f>
        <v>12188.68526129034</v>
      </c>
      <c r="D11" s="24"/>
      <c r="E11" s="25"/>
      <c r="F11" s="25"/>
      <c r="G11" s="25"/>
      <c r="H11" s="25"/>
      <c r="I11">
        <v>54</v>
      </c>
      <c r="J11">
        <v>18</v>
      </c>
      <c r="K11" s="1">
        <f>('Data &amp; PV'!$G$4/(1+5%)^J11)</f>
        <v>9550.153837069427</v>
      </c>
      <c r="N11" s="16">
        <v>49</v>
      </c>
      <c r="O11" s="12">
        <v>13</v>
      </c>
      <c r="P11" s="13">
        <f>('Data &amp; PV'!$J$4/(1+5%)^Table95[[#This Row],[year]])</f>
        <v>1999.3114919327609</v>
      </c>
      <c r="T11" s="25"/>
      <c r="U11" s="25"/>
      <c r="V11">
        <v>54</v>
      </c>
      <c r="W11">
        <v>18</v>
      </c>
      <c r="X11" s="15">
        <f>('Data &amp; PV'!$J$4/(1+5%)^Table914[[#This Row],[year]])</f>
        <v>1566.5128688504115</v>
      </c>
    </row>
    <row r="12" spans="1:24">
      <c r="A12" s="17">
        <v>50</v>
      </c>
      <c r="B12" s="14">
        <v>14</v>
      </c>
      <c r="C12" s="13">
        <f>('Data &amp; PV'!$G$4/(1+5%)^B12)</f>
        <v>11608.271677419374</v>
      </c>
      <c r="D12" s="24"/>
      <c r="E12" s="25"/>
      <c r="F12" s="25"/>
      <c r="G12" s="25"/>
      <c r="H12" s="25"/>
      <c r="I12">
        <v>55</v>
      </c>
      <c r="J12">
        <v>19</v>
      </c>
      <c r="K12" s="1">
        <f>('Data &amp; PV'!$G$4/(1+5%)^J12)</f>
        <v>9095.3846067327868</v>
      </c>
      <c r="N12" s="17">
        <v>50</v>
      </c>
      <c r="O12" s="14">
        <v>14</v>
      </c>
      <c r="P12" s="13">
        <f>('Data &amp; PV'!$J$4/(1+5%)^Table95[[#This Row],[year]])</f>
        <v>1904.106182793106</v>
      </c>
      <c r="T12" s="25"/>
      <c r="U12" s="25"/>
      <c r="V12">
        <v>55</v>
      </c>
      <c r="W12">
        <v>19</v>
      </c>
      <c r="X12" s="15">
        <f>('Data &amp; PV'!$J$4/(1+5%)^Table914[[#This Row],[year]])</f>
        <v>1491.9170179527728</v>
      </c>
    </row>
    <row r="13" spans="1:24">
      <c r="A13" s="17">
        <v>51</v>
      </c>
      <c r="B13" s="12">
        <v>15</v>
      </c>
      <c r="C13" s="13">
        <f>('Data &amp; PV'!$G$4/(1+5%)^B13)</f>
        <v>11055.496835637496</v>
      </c>
      <c r="D13" s="24"/>
      <c r="E13" s="25"/>
      <c r="F13" s="25"/>
      <c r="G13" s="25"/>
      <c r="H13" s="25"/>
      <c r="I13">
        <v>56</v>
      </c>
      <c r="J13">
        <v>20</v>
      </c>
      <c r="K13" s="1">
        <f>('Data &amp; PV'!$G$4/(1+5%)^J13)</f>
        <v>8662.2710540312273</v>
      </c>
      <c r="N13" s="17">
        <v>51</v>
      </c>
      <c r="O13" s="12">
        <v>15</v>
      </c>
      <c r="P13" s="13">
        <f>('Data &amp; PV'!$J$4/(1+5%)^Table95[[#This Row],[year]])</f>
        <v>1813.4344598029577</v>
      </c>
      <c r="Q13" s="24"/>
      <c r="R13" s="24"/>
      <c r="S13" s="31"/>
      <c r="T13" s="25"/>
      <c r="U13" s="25"/>
      <c r="V13">
        <v>56</v>
      </c>
      <c r="W13">
        <v>20</v>
      </c>
      <c r="X13" s="15">
        <f>('Data &amp; PV'!$J$4/(1+5%)^Table914[[#This Row],[year]])</f>
        <v>1420.8733504312122</v>
      </c>
    </row>
    <row r="14" spans="1:24">
      <c r="A14" s="16">
        <v>52</v>
      </c>
      <c r="B14" s="14">
        <v>16</v>
      </c>
      <c r="C14" s="13">
        <f>('Data &amp; PV'!$G$4/(1+5%)^B14)</f>
        <v>10529.044605369045</v>
      </c>
      <c r="D14" s="24"/>
      <c r="E14" s="25"/>
      <c r="F14" s="25"/>
      <c r="G14" s="25"/>
      <c r="H14" s="25"/>
      <c r="I14">
        <v>57</v>
      </c>
      <c r="J14">
        <v>21</v>
      </c>
      <c r="K14" s="1">
        <f>('Data &amp; PV'!$G$4/(1+5%)^J14)</f>
        <v>8249.7819562202167</v>
      </c>
      <c r="N14" s="16">
        <v>52</v>
      </c>
      <c r="O14" s="14">
        <v>16</v>
      </c>
      <c r="P14" s="13">
        <f>('Data &amp; PV'!$J$4/(1+5%)^Table95[[#This Row],[year]])</f>
        <v>1727.0804379075789</v>
      </c>
      <c r="Q14" s="32"/>
      <c r="R14" s="24"/>
      <c r="S14" s="31"/>
      <c r="T14" s="25"/>
      <c r="U14" s="25"/>
      <c r="V14">
        <v>57</v>
      </c>
      <c r="W14">
        <v>21</v>
      </c>
      <c r="X14" s="15">
        <f>('Data &amp; PV'!$J$4/(1+5%)^Table914[[#This Row],[year]])</f>
        <v>1353.2127146963926</v>
      </c>
    </row>
    <row r="15" spans="1:24">
      <c r="A15" s="17">
        <v>53</v>
      </c>
      <c r="B15" s="12">
        <v>17</v>
      </c>
      <c r="C15" s="13">
        <f>('Data &amp; PV'!$G$4/(1+5%)^B15)</f>
        <v>10027.661528922898</v>
      </c>
      <c r="D15" s="24"/>
      <c r="E15" s="25"/>
      <c r="F15" s="25"/>
      <c r="G15" s="25"/>
      <c r="H15" s="25"/>
      <c r="I15">
        <v>58</v>
      </c>
      <c r="J15">
        <v>22</v>
      </c>
      <c r="K15" s="1">
        <f>('Data &amp; PV'!$G$4/(1+5%)^J15)</f>
        <v>7856.9351964002062</v>
      </c>
      <c r="N15" s="17">
        <v>53</v>
      </c>
      <c r="O15" s="12">
        <v>17</v>
      </c>
      <c r="P15" s="13">
        <f>('Data &amp; PV'!$J$4/(1+5%)^Table95[[#This Row],[year]])</f>
        <v>1644.8385122929319</v>
      </c>
      <c r="Q15" s="32"/>
      <c r="R15" s="24"/>
      <c r="S15" s="31"/>
      <c r="T15" s="25"/>
      <c r="U15" s="25"/>
      <c r="V15">
        <v>58</v>
      </c>
      <c r="W15">
        <v>22</v>
      </c>
      <c r="X15" s="15">
        <f>('Data &amp; PV'!$J$4/(1+5%)^Table914[[#This Row],[year]])</f>
        <v>1288.7740139965645</v>
      </c>
    </row>
    <row r="16" spans="1:24">
      <c r="A16" s="17">
        <v>54</v>
      </c>
      <c r="B16" s="14">
        <v>18</v>
      </c>
      <c r="C16" s="13">
        <f>('Data &amp; PV'!$G$4/(1+5%)^B16)</f>
        <v>9550.153837069427</v>
      </c>
      <c r="D16" s="24"/>
      <c r="E16" s="25"/>
      <c r="F16" s="25"/>
      <c r="G16" s="25"/>
      <c r="H16" s="25"/>
      <c r="I16">
        <v>59</v>
      </c>
      <c r="J16">
        <v>23</v>
      </c>
      <c r="K16" s="1">
        <f>('Data &amp; PV'!$G$4/(1+5%)^J16)</f>
        <v>7482.7954251430519</v>
      </c>
      <c r="N16" s="17">
        <v>54</v>
      </c>
      <c r="O16" s="14">
        <v>18</v>
      </c>
      <c r="P16" s="13">
        <f>('Data &amp; PV'!$J$4/(1+5%)^Table95[[#This Row],[year]])</f>
        <v>1566.5128688504115</v>
      </c>
      <c r="Q16" s="32"/>
      <c r="R16" s="24"/>
      <c r="S16" s="31"/>
      <c r="T16" s="25"/>
      <c r="U16" s="25"/>
      <c r="V16">
        <v>59</v>
      </c>
      <c r="W16">
        <v>23</v>
      </c>
      <c r="X16" s="15">
        <f>('Data &amp; PV'!$J$4/(1+5%)^Table914[[#This Row],[year]])</f>
        <v>1227.4038228538707</v>
      </c>
    </row>
    <row r="17" spans="1:24" s="3" customFormat="1" ht="15.75" thickBot="1">
      <c r="A17" s="20" t="s">
        <v>119</v>
      </c>
      <c r="B17" s="20"/>
      <c r="C17" s="21">
        <f>SUM(C6:C16)</f>
        <v>120120.80866061854</v>
      </c>
      <c r="D17" s="26"/>
      <c r="E17" s="26"/>
      <c r="F17" s="26"/>
      <c r="G17" s="26"/>
      <c r="H17" s="26"/>
      <c r="I17" s="3" t="s">
        <v>119</v>
      </c>
      <c r="K17" s="4">
        <f>SUM(K6:K16)</f>
        <v>94117.796722945743</v>
      </c>
      <c r="N17" s="20" t="s">
        <v>119</v>
      </c>
      <c r="O17" s="20"/>
      <c r="P17" s="21">
        <f>SUM(P6:P16)</f>
        <v>19703.430519954774</v>
      </c>
      <c r="Q17" s="32"/>
      <c r="R17" s="24"/>
      <c r="S17" s="31"/>
      <c r="T17" s="24"/>
      <c r="V17" s="20" t="s">
        <v>119</v>
      </c>
      <c r="W17" s="20"/>
      <c r="X17" s="21">
        <f>SUM(X6:X16)</f>
        <v>15438.153381577797</v>
      </c>
    </row>
    <row r="18" spans="1:24" ht="15.75" thickBot="1">
      <c r="D18" s="312" t="s">
        <v>101</v>
      </c>
      <c r="E18" s="313"/>
      <c r="F18" s="313"/>
      <c r="G18" s="53">
        <f>C17-K17</f>
        <v>26003.011937672796</v>
      </c>
      <c r="Q18" s="312" t="s">
        <v>120</v>
      </c>
      <c r="R18" s="313"/>
      <c r="S18" s="313"/>
      <c r="T18" s="53"/>
      <c r="U18" s="179">
        <f>P17-X17</f>
        <v>4265.2771383769777</v>
      </c>
    </row>
    <row r="19" spans="1:24">
      <c r="Q19" s="32"/>
      <c r="R19" s="24"/>
      <c r="S19" s="31"/>
      <c r="T19" s="24"/>
    </row>
    <row r="20" spans="1:24">
      <c r="Q20" s="32"/>
      <c r="R20" s="24"/>
      <c r="S20" s="31"/>
      <c r="T20" s="24"/>
    </row>
    <row r="21" spans="1:24">
      <c r="Q21" s="32"/>
      <c r="R21" s="24"/>
      <c r="S21" s="31"/>
      <c r="T21" s="24"/>
    </row>
    <row r="22" spans="1:24" ht="21.75" customHeight="1">
      <c r="A22" s="6"/>
      <c r="B22" s="6"/>
      <c r="C22" s="6"/>
      <c r="D22" s="6"/>
      <c r="E22" s="6"/>
      <c r="F22" s="6"/>
      <c r="T22" s="24"/>
    </row>
    <row r="23" spans="1:24">
      <c r="Q23" s="32"/>
      <c r="R23" s="24"/>
      <c r="S23" s="31"/>
      <c r="T23" s="24"/>
    </row>
    <row r="24" spans="1:24">
      <c r="Q24" s="32"/>
      <c r="R24" s="24"/>
      <c r="S24" s="31"/>
      <c r="T24" s="24"/>
    </row>
    <row r="25" spans="1:24">
      <c r="Q25" s="26"/>
      <c r="R25" s="26"/>
      <c r="S25" s="33"/>
      <c r="T25" s="26"/>
    </row>
  </sheetData>
  <mergeCells count="11">
    <mergeCell ref="D18:F18"/>
    <mergeCell ref="A1:K2"/>
    <mergeCell ref="L1:L2"/>
    <mergeCell ref="A3:K3"/>
    <mergeCell ref="A4:C4"/>
    <mergeCell ref="I4:K4"/>
    <mergeCell ref="Q18:S18"/>
    <mergeCell ref="N1:X2"/>
    <mergeCell ref="N3:X3"/>
    <mergeCell ref="N4:P4"/>
    <mergeCell ref="V4:X4"/>
  </mergeCell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B29"/>
  <sheetViews>
    <sheetView topLeftCell="H13" workbookViewId="0">
      <selection activeCell="V32" sqref="V32"/>
    </sheetView>
  </sheetViews>
  <sheetFormatPr defaultColWidth="8.85546875" defaultRowHeight="15"/>
  <cols>
    <col min="3" max="3" width="13.85546875" style="1" bestFit="1" customWidth="1"/>
    <col min="7" max="7" width="12.7109375" bestFit="1" customWidth="1"/>
    <col min="11" max="11" width="13.85546875" style="1" bestFit="1" customWidth="1"/>
    <col min="17" max="17" width="10.140625" bestFit="1" customWidth="1"/>
    <col min="19" max="19" width="11.28515625" bestFit="1" customWidth="1"/>
    <col min="24" max="24" width="10.140625" bestFit="1" customWidth="1"/>
  </cols>
  <sheetData>
    <row r="1" spans="1:28">
      <c r="A1" s="301" t="s">
        <v>121</v>
      </c>
      <c r="B1" s="302"/>
      <c r="C1" s="302"/>
      <c r="D1" s="302"/>
      <c r="E1" s="302"/>
      <c r="F1" s="302"/>
      <c r="G1" s="302"/>
      <c r="H1" s="302"/>
      <c r="I1" s="302"/>
      <c r="J1" s="302"/>
      <c r="K1" s="314"/>
      <c r="L1" s="321"/>
      <c r="O1" s="301" t="s">
        <v>122</v>
      </c>
      <c r="P1" s="302"/>
      <c r="Q1" s="302"/>
      <c r="R1" s="302"/>
      <c r="S1" s="302"/>
      <c r="T1" s="302"/>
      <c r="U1" s="302"/>
      <c r="V1" s="302"/>
      <c r="W1" s="302"/>
      <c r="X1" s="302"/>
      <c r="Y1" s="302"/>
    </row>
    <row r="2" spans="1:28">
      <c r="A2" s="303"/>
      <c r="B2" s="304"/>
      <c r="C2" s="304"/>
      <c r="D2" s="304"/>
      <c r="E2" s="304"/>
      <c r="F2" s="304"/>
      <c r="G2" s="304"/>
      <c r="H2" s="304"/>
      <c r="I2" s="304"/>
      <c r="J2" s="304"/>
      <c r="K2" s="315"/>
      <c r="L2" s="322"/>
      <c r="O2" s="303"/>
      <c r="P2" s="304"/>
      <c r="Q2" s="304"/>
      <c r="R2" s="304"/>
      <c r="S2" s="304"/>
      <c r="T2" s="304"/>
      <c r="U2" s="304"/>
      <c r="V2" s="304"/>
      <c r="W2" s="304"/>
      <c r="X2" s="304"/>
      <c r="Y2" s="304"/>
    </row>
    <row r="3" spans="1:28" s="3" customFormat="1">
      <c r="A3" s="301" t="s">
        <v>89</v>
      </c>
      <c r="B3" s="302"/>
      <c r="C3" s="302"/>
      <c r="D3" s="302"/>
      <c r="E3" s="302"/>
      <c r="F3" s="302"/>
      <c r="G3" s="302"/>
      <c r="H3" s="302"/>
      <c r="I3" s="302"/>
      <c r="J3" s="302"/>
      <c r="K3" s="314"/>
      <c r="L3" s="181"/>
      <c r="O3" s="305" t="s">
        <v>89</v>
      </c>
      <c r="P3" s="306"/>
      <c r="Q3" s="306"/>
      <c r="R3" s="306"/>
      <c r="S3" s="306"/>
      <c r="T3" s="306"/>
      <c r="U3" s="306"/>
      <c r="V3" s="306"/>
      <c r="W3" s="306"/>
      <c r="X3" s="306"/>
      <c r="Y3" s="306"/>
    </row>
    <row r="4" spans="1:28" s="3" customFormat="1" ht="55.5" customHeight="1">
      <c r="A4" s="323" t="s">
        <v>123</v>
      </c>
      <c r="B4" s="323"/>
      <c r="C4" s="324"/>
      <c r="D4" s="9"/>
      <c r="E4" s="9"/>
      <c r="F4" s="9"/>
      <c r="G4" s="10"/>
      <c r="H4" s="10"/>
      <c r="I4" s="325" t="s">
        <v>124</v>
      </c>
      <c r="J4" s="323"/>
      <c r="K4" s="323"/>
      <c r="L4" s="34"/>
      <c r="O4" s="307" t="s">
        <v>125</v>
      </c>
      <c r="P4" s="307"/>
      <c r="Q4" s="308"/>
      <c r="R4" s="9"/>
      <c r="S4" s="9"/>
      <c r="T4" s="9"/>
      <c r="U4" s="10"/>
      <c r="V4" s="10"/>
      <c r="W4" s="309" t="s">
        <v>126</v>
      </c>
      <c r="X4" s="307"/>
      <c r="Y4" s="308"/>
    </row>
    <row r="5" spans="1:28">
      <c r="A5" t="s">
        <v>94</v>
      </c>
      <c r="B5" t="s">
        <v>95</v>
      </c>
      <c r="C5" s="1" t="s">
        <v>96</v>
      </c>
      <c r="I5" t="s">
        <v>94</v>
      </c>
      <c r="J5" t="s">
        <v>95</v>
      </c>
      <c r="K5" s="1" t="s">
        <v>96</v>
      </c>
      <c r="L5" s="90"/>
      <c r="M5" s="79"/>
      <c r="N5" s="79"/>
      <c r="O5" t="s">
        <v>94</v>
      </c>
      <c r="P5" t="s">
        <v>95</v>
      </c>
      <c r="Q5" s="1" t="s">
        <v>96</v>
      </c>
      <c r="V5" t="s">
        <v>94</v>
      </c>
      <c r="W5" t="s">
        <v>95</v>
      </c>
      <c r="X5" s="1" t="s">
        <v>96</v>
      </c>
    </row>
    <row r="6" spans="1:28">
      <c r="A6" s="106" t="s">
        <v>127</v>
      </c>
      <c r="B6">
        <v>5</v>
      </c>
      <c r="C6" s="1">
        <f>(0/(1+5%)^B6)</f>
        <v>0</v>
      </c>
      <c r="D6" s="79"/>
      <c r="E6" s="79"/>
      <c r="F6" s="79"/>
      <c r="I6" t="s">
        <v>128</v>
      </c>
      <c r="J6">
        <v>10</v>
      </c>
      <c r="K6" s="1">
        <f>(0/(1+5%)^J6)</f>
        <v>0</v>
      </c>
      <c r="L6" s="79"/>
      <c r="M6" s="79"/>
      <c r="N6" s="79"/>
      <c r="O6" s="106" t="s">
        <v>127</v>
      </c>
      <c r="P6">
        <v>5</v>
      </c>
      <c r="Q6" s="1">
        <f>(0/(1+5%)^Table1116[[#This Row],[year]])</f>
        <v>0</v>
      </c>
      <c r="R6" s="90"/>
      <c r="S6" s="79"/>
      <c r="T6" s="79"/>
      <c r="V6" t="s">
        <v>128</v>
      </c>
      <c r="W6">
        <v>10</v>
      </c>
      <c r="X6" s="1">
        <f>(0/(1+5%)^Table1221[[#This Row],[year]])</f>
        <v>0</v>
      </c>
      <c r="Z6" s="79"/>
      <c r="AA6" s="79"/>
      <c r="AB6" s="79"/>
    </row>
    <row r="7" spans="1:28">
      <c r="A7" s="106">
        <v>42</v>
      </c>
      <c r="B7">
        <v>6</v>
      </c>
      <c r="C7" s="1">
        <f>('Data &amp; PV'!$G$5/(1+5%)^B7)</f>
        <v>600.47990427362333</v>
      </c>
      <c r="D7" s="79"/>
      <c r="E7" s="79"/>
      <c r="F7" s="79"/>
      <c r="I7">
        <v>47</v>
      </c>
      <c r="J7">
        <v>11</v>
      </c>
      <c r="K7" s="1">
        <f>('Data &amp; PV'!$G$5/(1+5%)^J7)</f>
        <v>470.49171743685923</v>
      </c>
      <c r="L7" s="79"/>
      <c r="M7" s="79"/>
      <c r="N7" s="79"/>
      <c r="O7" s="106">
        <v>42</v>
      </c>
      <c r="P7">
        <v>6</v>
      </c>
      <c r="Q7" s="1">
        <f>('Data &amp; PV'!$J$5/(1+5%)^Table1116[[#This Row],[year]])</f>
        <v>1731.2197201969761</v>
      </c>
      <c r="R7" s="79"/>
      <c r="S7" s="79"/>
      <c r="T7" s="79"/>
      <c r="V7">
        <v>47</v>
      </c>
      <c r="W7">
        <v>11</v>
      </c>
      <c r="X7" s="1">
        <f>('Data &amp; PV'!$J$5/(1+5%)^Table1221[[#This Row],[year]])</f>
        <v>1356.4559506805347</v>
      </c>
      <c r="Z7" s="79"/>
      <c r="AA7" s="79"/>
      <c r="AB7" s="79"/>
    </row>
    <row r="8" spans="1:28">
      <c r="A8" s="106">
        <v>43</v>
      </c>
      <c r="B8">
        <v>7</v>
      </c>
      <c r="C8" s="1">
        <f>('Data &amp; PV'!$G$5/(1+5%)^B8)</f>
        <v>571.88562311773637</v>
      </c>
      <c r="D8" s="79"/>
      <c r="E8" s="79"/>
      <c r="F8" s="79"/>
      <c r="I8">
        <v>48</v>
      </c>
      <c r="J8">
        <v>12</v>
      </c>
      <c r="K8" s="1">
        <f>('Data &amp; PV'!$G$5/(1+5%)^J8)</f>
        <v>448.08734993986604</v>
      </c>
      <c r="O8" s="106">
        <v>43</v>
      </c>
      <c r="P8">
        <v>7</v>
      </c>
      <c r="Q8" s="1">
        <f>('Data &amp; PV'!$J$5/(1+5%)^Table1116[[#This Row],[year]])</f>
        <v>1648.7806859018817</v>
      </c>
      <c r="R8" s="79"/>
      <c r="S8" s="79"/>
      <c r="T8" s="79"/>
      <c r="V8">
        <v>48</v>
      </c>
      <c r="W8">
        <v>12</v>
      </c>
      <c r="X8" s="1">
        <f>('Data &amp; PV'!$J$5/(1+5%)^Table1221[[#This Row],[year]])</f>
        <v>1291.862810171938</v>
      </c>
      <c r="Z8" s="79"/>
      <c r="AA8" s="79"/>
      <c r="AB8" s="79"/>
    </row>
    <row r="9" spans="1:28">
      <c r="A9" s="106">
        <v>44</v>
      </c>
      <c r="B9">
        <v>8</v>
      </c>
      <c r="C9" s="1">
        <f>('Data &amp; PV'!$G$5/(1+5%)^B9)</f>
        <v>544.65297439784422</v>
      </c>
      <c r="I9">
        <v>49</v>
      </c>
      <c r="J9">
        <v>13</v>
      </c>
      <c r="K9" s="1">
        <f>('Data &amp; PV'!$G$5/(1+5%)^J9)</f>
        <v>426.7498570855866</v>
      </c>
      <c r="O9" s="106">
        <v>44</v>
      </c>
      <c r="P9">
        <v>8</v>
      </c>
      <c r="Q9" s="1">
        <f>('Data &amp; PV'!$J$5/(1+5%)^Table1116[[#This Row],[year]])</f>
        <v>1570.2673199065543</v>
      </c>
      <c r="V9">
        <v>49</v>
      </c>
      <c r="W9">
        <v>13</v>
      </c>
      <c r="X9" s="1">
        <f>('Data &amp; PV'!$J$5/(1+5%)^Table1221[[#This Row],[year]])</f>
        <v>1230.3455334970836</v>
      </c>
    </row>
    <row r="10" spans="1:28">
      <c r="A10" s="106">
        <v>45</v>
      </c>
      <c r="B10">
        <v>9</v>
      </c>
      <c r="C10" s="1">
        <f>('Data &amp; PV'!$G$5/(1+5%)^B10)</f>
        <v>518.71711847413735</v>
      </c>
      <c r="I10">
        <v>50</v>
      </c>
      <c r="J10">
        <v>14</v>
      </c>
      <c r="K10" s="1">
        <f>('Data &amp; PV'!$G$5/(1+5%)^J10)</f>
        <v>406.42843531960636</v>
      </c>
      <c r="O10" s="106">
        <v>45</v>
      </c>
      <c r="P10">
        <v>9</v>
      </c>
      <c r="Q10" s="1">
        <f>('Data &amp; PV'!$J$5/(1+5%)^Table1116[[#This Row],[year]])</f>
        <v>1495.4926856252896</v>
      </c>
      <c r="V10">
        <v>50</v>
      </c>
      <c r="W10">
        <v>14</v>
      </c>
      <c r="X10" s="1">
        <f>('Data &amp; PV'!$J$5/(1+5%)^Table1221[[#This Row],[year]])</f>
        <v>1171.7576509496037</v>
      </c>
    </row>
    <row r="11" spans="1:28">
      <c r="A11" s="106">
        <v>46</v>
      </c>
      <c r="B11">
        <v>10</v>
      </c>
      <c r="C11" s="1">
        <f>('Data &amp; PV'!$G$5/(1+5%)^B11)</f>
        <v>494.01630330870222</v>
      </c>
      <c r="I11">
        <v>51</v>
      </c>
      <c r="J11">
        <v>15</v>
      </c>
      <c r="K11" s="1">
        <f>('Data &amp; PV'!$G$5/(1+5%)^J11)</f>
        <v>387.07470030438691</v>
      </c>
      <c r="O11" s="106">
        <v>46</v>
      </c>
      <c r="P11">
        <v>10</v>
      </c>
      <c r="Q11" s="1">
        <f>('Data &amp; PV'!$J$5/(1+5%)^Table1116[[#This Row],[year]])</f>
        <v>1424.2787482145616</v>
      </c>
      <c r="V11">
        <v>51</v>
      </c>
      <c r="W11">
        <v>15</v>
      </c>
      <c r="X11" s="1">
        <f>('Data &amp; PV'!$J$5/(1+5%)^Table1221[[#This Row],[year]])</f>
        <v>1115.9596675710509</v>
      </c>
    </row>
    <row r="12" spans="1:28" s="3" customFormat="1">
      <c r="A12" s="106">
        <v>47</v>
      </c>
      <c r="B12">
        <v>11</v>
      </c>
      <c r="C12" s="1">
        <f>('Data &amp; PV'!$G$5/(1+5%)^B12)</f>
        <v>470.49171743685923</v>
      </c>
      <c r="I12">
        <v>52</v>
      </c>
      <c r="J12">
        <v>16</v>
      </c>
      <c r="K12" s="1">
        <f>('Data &amp; PV'!$G$5/(1+5%)^J12)</f>
        <v>368.64257171846378</v>
      </c>
      <c r="O12" s="106">
        <v>47</v>
      </c>
      <c r="P12">
        <v>11</v>
      </c>
      <c r="Q12" s="1">
        <f>('Data &amp; PV'!$J$5/(1+5%)^Table1116[[#This Row],[year]])</f>
        <v>1356.4559506805347</v>
      </c>
      <c r="V12">
        <v>52</v>
      </c>
      <c r="W12">
        <v>16</v>
      </c>
      <c r="X12" s="1">
        <f>('Data &amp; PV'!$J$5/(1+5%)^Table1221[[#This Row],[year]])</f>
        <v>1062.8187310200485</v>
      </c>
    </row>
    <row r="13" spans="1:28">
      <c r="A13" s="106">
        <v>48</v>
      </c>
      <c r="B13">
        <v>12</v>
      </c>
      <c r="C13" s="1">
        <f>('Data &amp; PV'!$G$5/(1+5%)^B13)</f>
        <v>448.08734993986604</v>
      </c>
      <c r="I13">
        <v>53</v>
      </c>
      <c r="J13">
        <v>17</v>
      </c>
      <c r="K13" s="1">
        <f>('Data &amp; PV'!$G$5/(1+5%)^J13)</f>
        <v>351.08816354139401</v>
      </c>
      <c r="O13" s="106">
        <v>48</v>
      </c>
      <c r="P13">
        <v>12</v>
      </c>
      <c r="Q13" s="1">
        <f>('Data &amp; PV'!$J$5/(1+5%)^Table1116[[#This Row],[year]])</f>
        <v>1291.862810171938</v>
      </c>
      <c r="V13">
        <v>53</v>
      </c>
      <c r="W13">
        <v>17</v>
      </c>
      <c r="X13" s="1">
        <f>('Data &amp; PV'!$J$5/(1+5%)^Table1221[[#This Row],[year]])</f>
        <v>1012.2083152571889</v>
      </c>
    </row>
    <row r="14" spans="1:28">
      <c r="A14" s="106">
        <v>49</v>
      </c>
      <c r="B14">
        <v>13</v>
      </c>
      <c r="C14" s="1">
        <f>('Data &amp; PV'!$G$5/(1+5%)^B14)</f>
        <v>426.7498570855866</v>
      </c>
      <c r="I14">
        <v>54</v>
      </c>
      <c r="J14">
        <v>18</v>
      </c>
      <c r="K14" s="1">
        <f>('Data &amp; PV'!$G$5/(1+5%)^J14)</f>
        <v>334.36967956323241</v>
      </c>
      <c r="O14" s="106">
        <v>49</v>
      </c>
      <c r="P14">
        <v>13</v>
      </c>
      <c r="Q14" s="1">
        <f>('Data &amp; PV'!$J$5/(1+5%)^Table1116[[#This Row],[year]])</f>
        <v>1230.3455334970836</v>
      </c>
      <c r="V14">
        <v>54</v>
      </c>
      <c r="W14">
        <v>18</v>
      </c>
      <c r="X14" s="1">
        <f>('Data &amp; PV'!$J$5/(1+5%)^Table1221[[#This Row],[year]])</f>
        <v>964.00791929256093</v>
      </c>
    </row>
    <row r="15" spans="1:28">
      <c r="A15" s="106">
        <v>50</v>
      </c>
      <c r="B15">
        <v>14</v>
      </c>
      <c r="C15" s="1">
        <f>('Data &amp; PV'!$G$5/(1+5%)^B15)</f>
        <v>406.42843531960636</v>
      </c>
      <c r="I15">
        <v>55</v>
      </c>
      <c r="J15">
        <v>19</v>
      </c>
      <c r="K15" s="1">
        <f>('Data &amp; PV'!$G$5/(1+5%)^J15)</f>
        <v>318.44731386974513</v>
      </c>
      <c r="O15" s="106">
        <v>50</v>
      </c>
      <c r="P15">
        <v>14</v>
      </c>
      <c r="Q15" s="1">
        <f>('Data &amp; PV'!$J$5/(1+5%)^Table1116[[#This Row],[year]])</f>
        <v>1171.7576509496037</v>
      </c>
      <c r="V15">
        <v>55</v>
      </c>
      <c r="W15">
        <v>19</v>
      </c>
      <c r="X15" s="1">
        <f>('Data &amp; PV'!$J$5/(1+5%)^Table1221[[#This Row],[year]])</f>
        <v>918.10278027862944</v>
      </c>
    </row>
    <row r="16" spans="1:28">
      <c r="A16" s="106">
        <v>51</v>
      </c>
      <c r="B16">
        <v>15</v>
      </c>
      <c r="C16" s="1">
        <f>('Data &amp; PV'!$G$5/(1+5%)^B16)</f>
        <v>387.07470030438691</v>
      </c>
      <c r="I16">
        <v>56</v>
      </c>
      <c r="J16">
        <v>20</v>
      </c>
      <c r="K16" s="1">
        <f>('Data &amp; PV'!$G$5/(1+5%)^J16)</f>
        <v>303.28315606642394</v>
      </c>
      <c r="O16" s="106">
        <v>51</v>
      </c>
      <c r="P16">
        <v>15</v>
      </c>
      <c r="Q16" s="1">
        <f>('Data &amp; PV'!$J$5/(1+5%)^Table1116[[#This Row],[year]])</f>
        <v>1115.9596675710509</v>
      </c>
      <c r="V16">
        <v>56</v>
      </c>
      <c r="W16">
        <v>20</v>
      </c>
      <c r="X16" s="1">
        <f>('Data &amp; PV'!$J$5/(1+5%)^Table1221[[#This Row],[year]])</f>
        <v>874.38360026536134</v>
      </c>
    </row>
    <row r="17" spans="1:24" ht="15.75" customHeight="1">
      <c r="A17" s="106">
        <v>52</v>
      </c>
      <c r="B17">
        <v>16</v>
      </c>
      <c r="C17" s="1">
        <f>('Data &amp; PV'!$G$5/(1+5%)^B17)</f>
        <v>368.64257171846378</v>
      </c>
      <c r="D17" s="6"/>
      <c r="E17" s="6"/>
      <c r="F17" s="6"/>
      <c r="I17">
        <v>57</v>
      </c>
      <c r="J17">
        <v>21</v>
      </c>
      <c r="K17" s="1">
        <f>('Data &amp; PV'!$G$5/(1+5%)^J17)</f>
        <v>288.84110101564187</v>
      </c>
      <c r="O17" s="106">
        <v>52</v>
      </c>
      <c r="P17">
        <v>16</v>
      </c>
      <c r="Q17" s="1">
        <f>('Data &amp; PV'!$J$5/(1+5%)^Table1116[[#This Row],[year]])</f>
        <v>1062.8187310200485</v>
      </c>
      <c r="V17">
        <v>57</v>
      </c>
      <c r="W17">
        <v>21</v>
      </c>
      <c r="X17" s="1">
        <f>('Data &amp; PV'!$J$5/(1+5%)^Table1221[[#This Row],[year]])</f>
        <v>832.74628596701086</v>
      </c>
    </row>
    <row r="18" spans="1:24">
      <c r="A18" s="106">
        <v>53</v>
      </c>
      <c r="B18">
        <v>17</v>
      </c>
      <c r="C18" s="1">
        <f>('Data &amp; PV'!$G$5/(1+5%)^B18)</f>
        <v>351.08816354139401</v>
      </c>
      <c r="I18">
        <v>58</v>
      </c>
      <c r="J18">
        <v>22</v>
      </c>
      <c r="K18" s="1">
        <f>('Data &amp; PV'!$G$5/(1+5%)^J18)</f>
        <v>275.08676287203991</v>
      </c>
      <c r="O18" s="106">
        <v>53</v>
      </c>
      <c r="P18">
        <v>17</v>
      </c>
      <c r="Q18" s="1">
        <f>('Data &amp; PV'!$J$5/(1+5%)^Table1116[[#This Row],[year]])</f>
        <v>1012.2083152571889</v>
      </c>
      <c r="V18">
        <v>58</v>
      </c>
      <c r="W18">
        <v>22</v>
      </c>
      <c r="X18" s="1">
        <f>('Data &amp; PV'!$J$5/(1+5%)^Table1221[[#This Row],[year]])</f>
        <v>793.09170092096281</v>
      </c>
    </row>
    <row r="19" spans="1:24">
      <c r="A19" s="106">
        <v>54</v>
      </c>
      <c r="B19">
        <v>18</v>
      </c>
      <c r="C19" s="1">
        <f>('Data &amp; PV'!$G$5/(1+5%)^B19)</f>
        <v>334.36967956323241</v>
      </c>
      <c r="I19">
        <v>59</v>
      </c>
      <c r="J19">
        <v>23</v>
      </c>
      <c r="K19" s="1">
        <f>('Data &amp; PV'!$G$5/(1+5%)^J19)</f>
        <v>261.9873932114665</v>
      </c>
      <c r="O19" s="106">
        <v>54</v>
      </c>
      <c r="P19">
        <v>18</v>
      </c>
      <c r="Q19" s="1">
        <f>('Data &amp; PV'!$J$5/(1+5%)^Table1116[[#This Row],[year]])</f>
        <v>964.00791929256093</v>
      </c>
      <c r="V19">
        <v>59</v>
      </c>
      <c r="W19">
        <v>23</v>
      </c>
      <c r="X19" s="1">
        <f>('Data &amp; PV'!$J$5/(1+5%)^Table1221[[#This Row],[year]])</f>
        <v>755.32542944853583</v>
      </c>
    </row>
    <row r="20" spans="1:24">
      <c r="A20" s="106">
        <v>55</v>
      </c>
      <c r="B20">
        <v>19</v>
      </c>
      <c r="C20" s="1">
        <f>('Data &amp; PV'!$G$5/(1+5%)^B20)</f>
        <v>318.44731386974513</v>
      </c>
      <c r="I20">
        <v>60</v>
      </c>
      <c r="J20">
        <v>24</v>
      </c>
      <c r="K20" s="1">
        <f>('Data &amp; PV'!$G$5/(1+5%)^J20)</f>
        <v>249.51180305853956</v>
      </c>
      <c r="O20" s="106">
        <v>55</v>
      </c>
      <c r="P20">
        <v>19</v>
      </c>
      <c r="Q20" s="1">
        <f>('Data &amp; PV'!$J$5/(1+5%)^Table1116[[#This Row],[year]])</f>
        <v>918.10278027862944</v>
      </c>
      <c r="V20">
        <v>60</v>
      </c>
      <c r="W20">
        <v>24</v>
      </c>
      <c r="X20" s="1">
        <f>('Data &amp; PV'!$J$5/(1+5%)^Table1221[[#This Row],[year]])</f>
        <v>719.35755185574851</v>
      </c>
    </row>
    <row r="21" spans="1:24">
      <c r="A21" s="106">
        <v>56</v>
      </c>
      <c r="B21">
        <v>20</v>
      </c>
      <c r="C21" s="1">
        <f>('Data &amp; PV'!$G$5/(1+5%)^B21)</f>
        <v>303.28315606642394</v>
      </c>
      <c r="I21">
        <v>61</v>
      </c>
      <c r="J21">
        <v>25</v>
      </c>
      <c r="K21" s="1">
        <f>('Data &amp; PV'!$G$5/(1+5%)^J21)</f>
        <v>237.63028862718053</v>
      </c>
      <c r="O21" s="106">
        <v>56</v>
      </c>
      <c r="P21">
        <v>20</v>
      </c>
      <c r="Q21" s="1">
        <f>('Data &amp; PV'!$J$5/(1+5%)^Table1116[[#This Row],[year]])</f>
        <v>874.38360026536134</v>
      </c>
      <c r="V21">
        <v>61</v>
      </c>
      <c r="W21">
        <v>25</v>
      </c>
      <c r="X21" s="1">
        <f>('Data &amp; PV'!$J$5/(1+5%)^Table1221[[#This Row],[year]])</f>
        <v>685.10243033880806</v>
      </c>
    </row>
    <row r="22" spans="1:24">
      <c r="A22" s="106">
        <v>57</v>
      </c>
      <c r="B22">
        <v>21</v>
      </c>
      <c r="C22" s="1">
        <f>('Data &amp; PV'!$G$5/(1+5%)^B22)</f>
        <v>288.84110101564187</v>
      </c>
      <c r="I22">
        <v>62</v>
      </c>
      <c r="J22">
        <v>26</v>
      </c>
      <c r="K22" s="1">
        <f>('Data &amp; PV'!$G$5/(1+5%)^J22)</f>
        <v>226.3145605973148</v>
      </c>
      <c r="O22" s="106">
        <v>57</v>
      </c>
      <c r="P22">
        <v>21</v>
      </c>
      <c r="Q22" s="1">
        <f>('Data &amp; PV'!$J$5/(1+5%)^Table1116[[#This Row],[year]])</f>
        <v>832.74628596701086</v>
      </c>
      <c r="V22">
        <v>62</v>
      </c>
      <c r="W22">
        <v>26</v>
      </c>
      <c r="X22" s="1">
        <f>('Data &amp; PV'!$J$5/(1+5%)^Table1221[[#This Row],[year]])</f>
        <v>652.47850508457907</v>
      </c>
    </row>
    <row r="23" spans="1:24">
      <c r="A23" s="106">
        <v>58</v>
      </c>
      <c r="B23">
        <v>22</v>
      </c>
      <c r="C23" s="1">
        <f>('Data &amp; PV'!$G$5/(1+5%)^B23)</f>
        <v>275.08676287203991</v>
      </c>
      <c r="I23">
        <v>63</v>
      </c>
      <c r="J23">
        <v>27</v>
      </c>
      <c r="K23" s="1">
        <f>('Data &amp; PV'!$G$5/(1+5%)^J23)</f>
        <v>215.53767675934739</v>
      </c>
      <c r="O23" s="106">
        <v>58</v>
      </c>
      <c r="P23">
        <v>22</v>
      </c>
      <c r="Q23" s="1">
        <f>('Data &amp; PV'!$J$5/(1+5%)^Table1116[[#This Row],[year]])</f>
        <v>793.09170092096281</v>
      </c>
      <c r="V23">
        <v>63</v>
      </c>
      <c r="W23">
        <v>27</v>
      </c>
      <c r="X23" s="1">
        <f>('Data &amp; PV'!$J$5/(1+5%)^Table1221[[#This Row],[year]])</f>
        <v>621.40810008055143</v>
      </c>
    </row>
    <row r="24" spans="1:24">
      <c r="A24" s="106">
        <v>59</v>
      </c>
      <c r="B24">
        <v>23</v>
      </c>
      <c r="C24" s="1">
        <f>('Data &amp; PV'!$G$5/(1+5%)^B24)</f>
        <v>261.9873932114665</v>
      </c>
      <c r="I24">
        <v>64</v>
      </c>
      <c r="J24">
        <v>28</v>
      </c>
      <c r="K24" s="1">
        <f>('Data &amp; PV'!$G$5/(1+5%)^J24)</f>
        <v>205.27397786604516</v>
      </c>
      <c r="O24" s="106">
        <v>59</v>
      </c>
      <c r="P24">
        <v>23</v>
      </c>
      <c r="Q24" s="1">
        <f>('Data &amp; PV'!$J$5/(1+5%)^Table1116[[#This Row],[year]])</f>
        <v>755.32542944853583</v>
      </c>
      <c r="V24">
        <v>64</v>
      </c>
      <c r="W24">
        <v>28</v>
      </c>
      <c r="X24" s="1">
        <f>('Data &amp; PV'!$J$5/(1+5%)^Table1221[[#This Row],[year]])</f>
        <v>591.81723817195382</v>
      </c>
    </row>
    <row r="25" spans="1:24">
      <c r="A25" s="106">
        <v>60</v>
      </c>
      <c r="B25">
        <v>24</v>
      </c>
      <c r="C25" s="1">
        <f>('Data &amp; PV'!$G$5/(1+5%)^B25)</f>
        <v>249.51180305853956</v>
      </c>
      <c r="I25">
        <v>65</v>
      </c>
      <c r="J25">
        <v>29</v>
      </c>
      <c r="K25" s="1">
        <f>('Data &amp; PV'!$G$5/(1+5%)^J25)</f>
        <v>195.49902653909061</v>
      </c>
      <c r="O25" s="106">
        <v>60</v>
      </c>
      <c r="P25">
        <v>24</v>
      </c>
      <c r="Q25" s="1">
        <f>('Data &amp; PV'!$J$5/(1+5%)^Table1116[[#This Row],[year]])</f>
        <v>719.35755185574851</v>
      </c>
      <c r="V25">
        <v>65</v>
      </c>
      <c r="W25">
        <v>29</v>
      </c>
      <c r="X25" s="1">
        <f>('Data &amp; PV'!$J$5/(1+5%)^Table1221[[#This Row],[year]])</f>
        <v>563.63546492567025</v>
      </c>
    </row>
    <row r="26" spans="1:24">
      <c r="A26" s="106">
        <v>61</v>
      </c>
      <c r="B26">
        <v>25</v>
      </c>
      <c r="C26" s="1">
        <f>('Data &amp; PV'!$G$5/(1+5%)^B26)</f>
        <v>237.63028862718053</v>
      </c>
      <c r="I26">
        <v>66</v>
      </c>
      <c r="J26">
        <v>30</v>
      </c>
      <c r="K26" s="1">
        <f>('Data &amp; PV'!$G$5/(1+5%)^J26)</f>
        <v>186.18954908484827</v>
      </c>
      <c r="O26" s="106">
        <v>61</v>
      </c>
      <c r="P26">
        <v>25</v>
      </c>
      <c r="Q26" s="1">
        <f>('Data &amp; PV'!$J$5/(1+5%)^Table1116[[#This Row],[year]])</f>
        <v>685.10243033880806</v>
      </c>
      <c r="V26">
        <v>66</v>
      </c>
      <c r="W26">
        <v>30</v>
      </c>
      <c r="X26" s="1">
        <f>('Data &amp; PV'!$J$5/(1+5%)^Table1221[[#This Row],[year]])</f>
        <v>536.7956808815909</v>
      </c>
    </row>
    <row r="27" spans="1:24" s="3" customFormat="1">
      <c r="A27" s="177" t="s">
        <v>99</v>
      </c>
      <c r="B27" s="177"/>
      <c r="C27" s="4">
        <f>SUM(C6:C26)</f>
        <v>7857.4722172024758</v>
      </c>
      <c r="I27" s="177" t="s">
        <v>99</v>
      </c>
      <c r="J27" s="177"/>
      <c r="K27" s="4">
        <f>SUM(K6:K26)</f>
        <v>6156.5350844770792</v>
      </c>
      <c r="O27" s="177" t="s">
        <v>99</v>
      </c>
      <c r="P27" s="177"/>
      <c r="Q27" s="4">
        <f>SUM(Q6:Q26)</f>
        <v>22653.56551736033</v>
      </c>
      <c r="V27" s="177" t="s">
        <v>99</v>
      </c>
      <c r="W27" s="177"/>
      <c r="X27" s="4">
        <f>SUM(X6:X26)</f>
        <v>17749.66134665941</v>
      </c>
    </row>
    <row r="28" spans="1:24" ht="15.75" thickBot="1"/>
    <row r="29" spans="1:24" ht="15.75" thickBot="1">
      <c r="D29" s="312" t="s">
        <v>89</v>
      </c>
      <c r="E29" s="313"/>
      <c r="F29" s="313"/>
      <c r="G29" s="53">
        <f>C27-K27</f>
        <v>1700.9371327253966</v>
      </c>
      <c r="P29" s="312" t="s">
        <v>129</v>
      </c>
      <c r="Q29" s="313"/>
      <c r="R29" s="313"/>
      <c r="S29" s="77">
        <f>Q27-X27</f>
        <v>4903.9041707009201</v>
      </c>
    </row>
  </sheetData>
  <mergeCells count="11">
    <mergeCell ref="O1:Y2"/>
    <mergeCell ref="O3:Y3"/>
    <mergeCell ref="O4:Q4"/>
    <mergeCell ref="W4:Y4"/>
    <mergeCell ref="D29:F29"/>
    <mergeCell ref="A1:K2"/>
    <mergeCell ref="L1:L2"/>
    <mergeCell ref="A3:K3"/>
    <mergeCell ref="A4:C4"/>
    <mergeCell ref="I4:K4"/>
    <mergeCell ref="P29:R29"/>
  </mergeCells>
  <phoneticPr fontId="7" type="noConversion"/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V35"/>
  <sheetViews>
    <sheetView workbookViewId="0">
      <selection activeCell="M6" sqref="M6:M21"/>
    </sheetView>
  </sheetViews>
  <sheetFormatPr defaultColWidth="8.85546875" defaultRowHeight="15"/>
  <cols>
    <col min="1" max="2" width="11" customWidth="1"/>
    <col min="3" max="3" width="14.85546875" style="1" bestFit="1" customWidth="1"/>
    <col min="13" max="13" width="9.140625" bestFit="1" customWidth="1"/>
  </cols>
  <sheetData>
    <row r="1" spans="1:22" ht="47.25" customHeight="1">
      <c r="A1" s="326" t="s">
        <v>130</v>
      </c>
      <c r="B1" s="327"/>
      <c r="C1" s="327"/>
      <c r="D1" s="8"/>
      <c r="E1" s="8"/>
      <c r="F1" s="8"/>
      <c r="G1" s="8"/>
      <c r="K1" s="326" t="s">
        <v>131</v>
      </c>
      <c r="L1" s="327"/>
      <c r="M1" s="327"/>
      <c r="N1" s="78"/>
      <c r="O1" s="78"/>
      <c r="P1" s="78"/>
      <c r="Q1" s="78"/>
      <c r="R1" s="78"/>
      <c r="S1" s="78"/>
      <c r="T1" s="78"/>
      <c r="U1" s="78"/>
      <c r="V1" s="79"/>
    </row>
    <row r="2" spans="1:22" s="3" customFormat="1" ht="19.5" customHeight="1">
      <c r="A2" s="326" t="s">
        <v>89</v>
      </c>
      <c r="B2" s="327"/>
      <c r="C2" s="327"/>
      <c r="D2" s="7"/>
      <c r="E2" s="7"/>
      <c r="F2" s="7"/>
      <c r="K2" s="326" t="s">
        <v>132</v>
      </c>
      <c r="L2" s="327"/>
      <c r="M2" s="327"/>
      <c r="N2" s="80"/>
      <c r="O2" s="80"/>
      <c r="P2" s="80"/>
      <c r="Q2" s="80"/>
      <c r="R2" s="80"/>
      <c r="S2" s="80"/>
      <c r="T2" s="80"/>
      <c r="U2" s="80"/>
      <c r="V2" s="81"/>
    </row>
    <row r="3" spans="1:22" s="3" customFormat="1" ht="51" customHeight="1">
      <c r="A3" s="326" t="s">
        <v>133</v>
      </c>
      <c r="B3" s="327"/>
      <c r="C3" s="327"/>
      <c r="D3" s="6"/>
      <c r="E3" s="6"/>
      <c r="F3" s="6"/>
      <c r="K3" s="326" t="s">
        <v>134</v>
      </c>
      <c r="L3" s="327"/>
      <c r="M3" s="327"/>
    </row>
    <row r="4" spans="1:22">
      <c r="A4" s="37" t="s">
        <v>94</v>
      </c>
      <c r="B4" s="37" t="s">
        <v>95</v>
      </c>
      <c r="C4" s="38" t="s">
        <v>96</v>
      </c>
      <c r="K4" s="93" t="s">
        <v>94</v>
      </c>
      <c r="L4" s="94" t="s">
        <v>95</v>
      </c>
      <c r="M4" s="95" t="s">
        <v>96</v>
      </c>
      <c r="N4" s="82"/>
      <c r="O4" s="82"/>
    </row>
    <row r="5" spans="1:22">
      <c r="A5" s="108" t="s">
        <v>97</v>
      </c>
      <c r="B5" s="8">
        <v>13</v>
      </c>
      <c r="C5" s="1">
        <f>(0/(1+5%)^B5)</f>
        <v>0</v>
      </c>
      <c r="D5" s="79"/>
      <c r="E5" s="79"/>
      <c r="F5" s="79"/>
      <c r="G5" s="79"/>
      <c r="H5" s="79"/>
      <c r="I5" s="79"/>
      <c r="K5" s="63" t="s">
        <v>97</v>
      </c>
      <c r="L5" s="70">
        <v>13</v>
      </c>
      <c r="M5" s="66">
        <f>(0/(1+5%)^L5)</f>
        <v>0</v>
      </c>
      <c r="N5" s="82"/>
      <c r="O5" s="82"/>
    </row>
    <row r="6" spans="1:22">
      <c r="A6" s="106">
        <v>50</v>
      </c>
      <c r="B6" s="8">
        <v>14</v>
      </c>
      <c r="C6" s="1">
        <f>('Data &amp; PV'!$G$7/(1+5%)^B6)</f>
        <v>5388.7180345123688</v>
      </c>
      <c r="D6" s="79"/>
      <c r="E6" s="79"/>
      <c r="F6" s="79"/>
      <c r="G6" s="79"/>
      <c r="H6" s="79"/>
      <c r="I6" s="79"/>
      <c r="K6" s="65">
        <v>50</v>
      </c>
      <c r="L6" s="71">
        <v>14</v>
      </c>
      <c r="M6" s="66">
        <f>('Data &amp; PV'!$J$7/(1+5%)^L6)</f>
        <v>205.05758891618066</v>
      </c>
    </row>
    <row r="7" spans="1:22">
      <c r="A7" s="106">
        <v>51</v>
      </c>
      <c r="B7" s="8">
        <v>15</v>
      </c>
      <c r="C7" s="1">
        <f>('Data &amp; PV'!$G$7/(1+5%)^B7)</f>
        <v>5132.1124138213017</v>
      </c>
      <c r="K7" s="63">
        <v>51</v>
      </c>
      <c r="L7" s="70">
        <v>15</v>
      </c>
      <c r="M7" s="66">
        <f>('Data &amp; PV'!$J$7/(1+5%)^L7)</f>
        <v>195.29294182493391</v>
      </c>
    </row>
    <row r="8" spans="1:22">
      <c r="A8" s="106">
        <v>52</v>
      </c>
      <c r="B8" s="8">
        <v>16</v>
      </c>
      <c r="C8" s="1">
        <f>('Data &amp; PV'!$G$7/(1+5%)^B8)</f>
        <v>4887.7261084012398</v>
      </c>
      <c r="K8" s="65">
        <v>52</v>
      </c>
      <c r="L8" s="71">
        <v>16</v>
      </c>
      <c r="M8" s="66">
        <f>('Data &amp; PV'!$J$7/(1+5%)^L8)</f>
        <v>185.99327792850849</v>
      </c>
    </row>
    <row r="9" spans="1:22">
      <c r="A9" s="106">
        <v>53</v>
      </c>
      <c r="B9" s="8">
        <v>17</v>
      </c>
      <c r="C9" s="1">
        <f>('Data &amp; PV'!$G$7/(1+5%)^B9)</f>
        <v>4654.9772460964186</v>
      </c>
      <c r="K9" s="63">
        <v>53</v>
      </c>
      <c r="L9" s="70">
        <v>17</v>
      </c>
      <c r="M9" s="66">
        <f>('Data &amp; PV'!$J$7/(1+5%)^L9)</f>
        <v>177.13645517000805</v>
      </c>
    </row>
    <row r="10" spans="1:22" s="3" customFormat="1">
      <c r="A10" s="106">
        <v>54</v>
      </c>
      <c r="B10" s="8">
        <v>18</v>
      </c>
      <c r="C10" s="1">
        <f>('Data &amp; PV'!$G$7/(1+5%)^B10)</f>
        <v>4433.3116629489705</v>
      </c>
      <c r="K10" s="65">
        <v>54</v>
      </c>
      <c r="L10" s="71">
        <v>18</v>
      </c>
      <c r="M10" s="66">
        <f>('Data &amp; PV'!$J$7/(1+5%)^L10)</f>
        <v>168.70138587619815</v>
      </c>
    </row>
    <row r="11" spans="1:22">
      <c r="A11" s="106">
        <v>55</v>
      </c>
      <c r="B11" s="8">
        <v>19</v>
      </c>
      <c r="C11" s="1">
        <f>('Data &amp; PV'!$G$7/(1+5%)^B11)</f>
        <v>4222.2015837609242</v>
      </c>
      <c r="K11" s="63">
        <v>55</v>
      </c>
      <c r="L11" s="70">
        <v>19</v>
      </c>
      <c r="M11" s="66">
        <f>('Data &amp; PV'!$J$7/(1+5%)^L11)</f>
        <v>160.66798654876015</v>
      </c>
    </row>
    <row r="12" spans="1:22">
      <c r="A12" s="106">
        <v>56</v>
      </c>
      <c r="B12" s="8">
        <v>20</v>
      </c>
      <c r="C12" s="1">
        <f>('Data &amp; PV'!$G$7/(1+5%)^B12)</f>
        <v>4021.1443654865943</v>
      </c>
      <c r="K12" s="65">
        <v>56</v>
      </c>
      <c r="L12" s="71">
        <v>20</v>
      </c>
      <c r="M12" s="66">
        <f>('Data &amp; PV'!$J$7/(1+5%)^L12)</f>
        <v>153.01713004643824</v>
      </c>
    </row>
    <row r="13" spans="1:22">
      <c r="A13" s="106">
        <v>57</v>
      </c>
      <c r="B13" s="8">
        <v>21</v>
      </c>
      <c r="C13" s="1">
        <f>('Data &amp; PV'!$G$7/(1+5%)^B13)</f>
        <v>3829.6613004634232</v>
      </c>
      <c r="K13" s="63">
        <v>57</v>
      </c>
      <c r="L13" s="70">
        <v>21</v>
      </c>
      <c r="M13" s="66">
        <f>('Data &amp; PV'!$J$7/(1+5%)^L13)</f>
        <v>145.73060004422689</v>
      </c>
    </row>
    <row r="14" spans="1:22">
      <c r="A14" s="106">
        <v>58</v>
      </c>
      <c r="B14" s="8">
        <v>22</v>
      </c>
      <c r="C14" s="1">
        <f>('Data &amp; PV'!$G$7/(1+5%)^B14)</f>
        <v>3647.2964766318319</v>
      </c>
      <c r="K14" s="65">
        <v>58</v>
      </c>
      <c r="L14" s="71">
        <v>22</v>
      </c>
      <c r="M14" s="66">
        <f>('Data &amp; PV'!$J$7/(1+5%)^L14)</f>
        <v>138.79104766116848</v>
      </c>
    </row>
    <row r="15" spans="1:22" ht="18" customHeight="1">
      <c r="A15" s="106">
        <v>59</v>
      </c>
      <c r="B15" s="8">
        <v>23</v>
      </c>
      <c r="C15" s="1">
        <f>('Data &amp; PV'!$G$7/(1+5%)^B15)</f>
        <v>3473.6156920303156</v>
      </c>
      <c r="D15" s="5"/>
      <c r="E15" s="5"/>
      <c r="F15" s="5"/>
      <c r="K15" s="63">
        <v>59</v>
      </c>
      <c r="L15" s="70">
        <v>23</v>
      </c>
      <c r="M15" s="66">
        <f>('Data &amp; PV'!$J$7/(1+5%)^L15)</f>
        <v>132.18195015349377</v>
      </c>
    </row>
    <row r="16" spans="1:22">
      <c r="A16" s="106">
        <v>60</v>
      </c>
      <c r="B16" s="8">
        <v>24</v>
      </c>
      <c r="C16" s="1">
        <f>('Data &amp; PV'!$G$7/(1+5%)^B16)</f>
        <v>3308.2054209812532</v>
      </c>
      <c r="K16" s="65">
        <v>60</v>
      </c>
      <c r="L16" s="71">
        <v>24</v>
      </c>
      <c r="M16" s="66">
        <f>('Data &amp; PV'!$J$7/(1+5%)^L16)</f>
        <v>125.88757157475598</v>
      </c>
    </row>
    <row r="17" spans="1:13">
      <c r="A17" s="106">
        <v>61</v>
      </c>
      <c r="B17" s="8">
        <v>25</v>
      </c>
      <c r="C17" s="1">
        <f>('Data &amp; PV'!$G$7/(1+5%)^B17)</f>
        <v>3150.6718295059554</v>
      </c>
      <c r="K17" s="63">
        <v>61</v>
      </c>
      <c r="L17" s="70">
        <v>25</v>
      </c>
      <c r="M17" s="66">
        <f>('Data &amp; PV'!$J$7/(1+5%)^L17)</f>
        <v>119.89292530929141</v>
      </c>
    </row>
    <row r="18" spans="1:13">
      <c r="A18" s="106">
        <v>62</v>
      </c>
      <c r="B18" s="8">
        <v>26</v>
      </c>
      <c r="C18" s="1">
        <f>('Data &amp; PV'!$G$7/(1+5%)^B18)</f>
        <v>3000.6398376247193</v>
      </c>
      <c r="K18" s="65">
        <v>62</v>
      </c>
      <c r="L18" s="71">
        <v>26</v>
      </c>
      <c r="M18" s="66">
        <f>('Data &amp; PV'!$J$7/(1+5%)^L18)</f>
        <v>114.18373838980135</v>
      </c>
    </row>
    <row r="19" spans="1:13">
      <c r="A19" s="106">
        <v>63</v>
      </c>
      <c r="B19" s="8">
        <v>27</v>
      </c>
      <c r="C19" s="1">
        <f>('Data &amp; PV'!$G$7/(1+5%)^B19)</f>
        <v>2857.752226309256</v>
      </c>
      <c r="K19" s="63">
        <v>63</v>
      </c>
      <c r="L19" s="70">
        <v>27</v>
      </c>
      <c r="M19" s="66">
        <f>('Data &amp; PV'!$J$7/(1+5%)^L19)</f>
        <v>108.74641751409651</v>
      </c>
    </row>
    <row r="20" spans="1:13">
      <c r="A20" s="106">
        <v>64</v>
      </c>
      <c r="B20" s="8">
        <v>28</v>
      </c>
      <c r="C20" s="1">
        <f>('Data &amp; PV'!$G$7/(1+5%)^B20)</f>
        <v>2721.6687869611969</v>
      </c>
      <c r="K20" s="65">
        <v>64</v>
      </c>
      <c r="L20" s="71">
        <v>28</v>
      </c>
      <c r="M20" s="66">
        <f>('Data &amp; PV'!$J$7/(1+5%)^L20)</f>
        <v>103.56801668009193</v>
      </c>
    </row>
    <row r="21" spans="1:13">
      <c r="A21" s="106">
        <v>65</v>
      </c>
      <c r="B21" s="8">
        <v>29</v>
      </c>
      <c r="C21" s="1">
        <f>('Data &amp; PV'!$G$7/(1+5%)^B21)</f>
        <v>2592.0655113916155</v>
      </c>
      <c r="J21" s="92"/>
      <c r="K21" s="96">
        <v>65</v>
      </c>
      <c r="L21" s="91">
        <v>29</v>
      </c>
      <c r="M21" s="66">
        <f>('Data &amp; PV'!$J$7/(1+5%)^L21)</f>
        <v>98.636206361992294</v>
      </c>
    </row>
    <row r="22" spans="1:13">
      <c r="A22" s="106">
        <v>66</v>
      </c>
      <c r="B22" s="8">
        <v>30</v>
      </c>
      <c r="C22" s="1">
        <f>('Data &amp; PV'!$G$7/(1+5%)^B22)</f>
        <v>2468.6338203729679</v>
      </c>
      <c r="K22" s="92" t="s">
        <v>135</v>
      </c>
      <c r="L22" s="92"/>
      <c r="M22" s="4">
        <f>SUM(M5:M21)</f>
        <v>2333.4852399999468</v>
      </c>
    </row>
    <row r="23" spans="1:13">
      <c r="A23" s="106">
        <v>67</v>
      </c>
      <c r="B23" s="8">
        <v>31</v>
      </c>
      <c r="C23" s="1">
        <f>('Data &amp; PV'!$G$7/(1+5%)^B23)</f>
        <v>2351.0798289266354</v>
      </c>
    </row>
    <row r="24" spans="1:13">
      <c r="A24" s="106">
        <v>68</v>
      </c>
      <c r="B24" s="8">
        <v>32</v>
      </c>
      <c r="C24" s="1">
        <f>('Data &amp; PV'!$G$7/(1+5%)^B24)</f>
        <v>2239.1236465967959</v>
      </c>
    </row>
    <row r="25" spans="1:13">
      <c r="A25" s="106">
        <v>69</v>
      </c>
      <c r="B25" s="8">
        <v>33</v>
      </c>
      <c r="C25" s="1">
        <f>('Data &amp; PV'!$G$7/(1+5%)^B25)</f>
        <v>2132.4987110445672</v>
      </c>
    </row>
    <row r="26" spans="1:13">
      <c r="A26" s="106">
        <v>70</v>
      </c>
      <c r="B26" s="62">
        <v>34</v>
      </c>
      <c r="C26" s="1">
        <f>('Data &amp; PV'!$G$7/(1+5%)^B26)</f>
        <v>2030.9511533757784</v>
      </c>
    </row>
    <row r="27" spans="1:13">
      <c r="A27" s="106">
        <v>71</v>
      </c>
      <c r="B27" s="61">
        <v>35</v>
      </c>
      <c r="C27" s="1">
        <f>('Data &amp; PV'!$G$7/(1+5%)^B27)</f>
        <v>1934.2391936912172</v>
      </c>
    </row>
    <row r="28" spans="1:13">
      <c r="A28" s="106">
        <v>72</v>
      </c>
      <c r="B28" s="62">
        <v>36</v>
      </c>
      <c r="C28" s="1">
        <f>('Data &amp; PV'!$G$7/(1+5%)^B28)</f>
        <v>1842.1325654202071</v>
      </c>
    </row>
    <row r="29" spans="1:13">
      <c r="A29" s="106">
        <v>73</v>
      </c>
      <c r="B29" s="61">
        <v>37</v>
      </c>
      <c r="C29" s="1">
        <f>('Data &amp; PV'!$G$7/(1+5%)^B29)</f>
        <v>1754.4119670668638</v>
      </c>
    </row>
    <row r="30" spans="1:13">
      <c r="A30" s="106">
        <v>74</v>
      </c>
      <c r="B30" s="62">
        <v>38</v>
      </c>
      <c r="C30" s="1">
        <f>('Data &amp; PV'!$G$7/(1+5%)^B30)</f>
        <v>1670.86854006368</v>
      </c>
    </row>
    <row r="31" spans="1:13">
      <c r="A31" s="106">
        <v>75</v>
      </c>
      <c r="B31" s="61">
        <v>39</v>
      </c>
      <c r="C31" s="1">
        <f>('Data &amp; PV'!$G$7/(1+5%)^B31)</f>
        <v>1591.3033714892188</v>
      </c>
    </row>
    <row r="32" spans="1:13">
      <c r="A32" s="106">
        <v>76</v>
      </c>
      <c r="B32" s="62">
        <v>40</v>
      </c>
      <c r="C32" s="1">
        <f>('Data &amp; PV'!$G$7/(1+5%)^B32)</f>
        <v>1515.527020465923</v>
      </c>
    </row>
    <row r="33" spans="1:13" s="3" customFormat="1">
      <c r="A33" s="106">
        <v>77</v>
      </c>
      <c r="B33" s="61">
        <v>41</v>
      </c>
      <c r="C33" s="1">
        <f>('Data &amp; PV'!$G$7/(1+5%)^B33)</f>
        <v>1443.3590671104025</v>
      </c>
      <c r="K33"/>
      <c r="L33"/>
      <c r="M33"/>
    </row>
    <row r="34" spans="1:13">
      <c r="A34" s="106">
        <v>78</v>
      </c>
      <c r="B34" s="91">
        <v>42</v>
      </c>
      <c r="C34" s="1">
        <f>('Data &amp; PV'!$G$7/(1+5%)^B34)</f>
        <v>1374.6276829622882</v>
      </c>
      <c r="K34" s="3"/>
      <c r="L34" s="3"/>
      <c r="M34" s="3"/>
    </row>
    <row r="35" spans="1:13">
      <c r="A35" s="177" t="s">
        <v>136</v>
      </c>
      <c r="B35" s="7"/>
      <c r="C35" s="4">
        <f>SUM(C5:C34)</f>
        <v>85670.525065513924</v>
      </c>
    </row>
  </sheetData>
  <mergeCells count="6">
    <mergeCell ref="K1:M1"/>
    <mergeCell ref="K2:M2"/>
    <mergeCell ref="K3:M3"/>
    <mergeCell ref="A3:C3"/>
    <mergeCell ref="A2:C2"/>
    <mergeCell ref="A1:C1"/>
  </mergeCells>
  <pageMargins left="0.7" right="0.7" top="0.75" bottom="0.75" header="0.3" footer="0.3"/>
  <pageSetup orientation="portrait" horizontalDpi="1200" verticalDpi="1200" r:id="rId1"/>
  <tableParts count="2">
    <tablePart r:id="rId2"/>
    <tablePart r:id="rId3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Q31"/>
  <sheetViews>
    <sheetView topLeftCell="A7" workbookViewId="0">
      <selection activeCell="Q6" sqref="Q6:Q17"/>
    </sheetView>
  </sheetViews>
  <sheetFormatPr defaultColWidth="8.85546875" defaultRowHeight="15"/>
  <cols>
    <col min="1" max="2" width="11" customWidth="1"/>
    <col min="3" max="3" width="14.85546875" style="1" bestFit="1" customWidth="1"/>
    <col min="15" max="15" width="12.7109375" bestFit="1" customWidth="1"/>
  </cols>
  <sheetData>
    <row r="1" spans="1:17" ht="30" customHeight="1">
      <c r="A1" s="326" t="s">
        <v>137</v>
      </c>
      <c r="B1" s="327"/>
      <c r="C1" s="327"/>
      <c r="D1" s="8"/>
      <c r="E1" s="8"/>
      <c r="F1" s="8"/>
      <c r="G1" s="8"/>
      <c r="O1" s="326" t="s">
        <v>138</v>
      </c>
      <c r="P1" s="327"/>
      <c r="Q1" s="327"/>
    </row>
    <row r="2" spans="1:17" s="3" customFormat="1">
      <c r="A2" s="326" t="s">
        <v>89</v>
      </c>
      <c r="B2" s="327"/>
      <c r="C2" s="327"/>
      <c r="D2" s="7"/>
      <c r="E2" s="7"/>
      <c r="F2" s="7"/>
      <c r="O2" s="326" t="s">
        <v>132</v>
      </c>
      <c r="P2" s="327"/>
      <c r="Q2" s="327"/>
    </row>
    <row r="3" spans="1:17" s="3" customFormat="1" ht="40.5" customHeight="1">
      <c r="A3" s="326" t="s">
        <v>139</v>
      </c>
      <c r="B3" s="327"/>
      <c r="C3" s="327"/>
      <c r="D3" s="6"/>
      <c r="E3" s="6"/>
      <c r="F3" s="6"/>
      <c r="O3" s="326" t="s">
        <v>140</v>
      </c>
      <c r="P3" s="327"/>
      <c r="Q3" s="327"/>
    </row>
    <row r="4" spans="1:17">
      <c r="A4" s="35" t="s">
        <v>94</v>
      </c>
      <c r="B4" s="35" t="s">
        <v>95</v>
      </c>
      <c r="C4" s="36" t="s">
        <v>96</v>
      </c>
      <c r="O4" s="67" t="s">
        <v>94</v>
      </c>
      <c r="P4" s="68" t="s">
        <v>95</v>
      </c>
      <c r="Q4" s="69" t="s">
        <v>96</v>
      </c>
    </row>
    <row r="5" spans="1:17">
      <c r="A5" s="106" t="s">
        <v>141</v>
      </c>
      <c r="B5">
        <v>18</v>
      </c>
      <c r="C5" s="1">
        <f>(0/(1+5%)^B5)</f>
        <v>0</v>
      </c>
      <c r="O5" s="63" t="s">
        <v>141</v>
      </c>
      <c r="P5" s="59">
        <v>18</v>
      </c>
      <c r="Q5" s="64">
        <f>(0/(1+5%)^'Type 2 Diabeties'!P5)</f>
        <v>0</v>
      </c>
    </row>
    <row r="6" spans="1:17">
      <c r="A6" s="106">
        <v>54</v>
      </c>
      <c r="B6">
        <v>19</v>
      </c>
      <c r="C6" s="1">
        <f>('Data &amp; PV'!$G$8/(1+5%)^B6)</f>
        <v>3431.2057759852705</v>
      </c>
      <c r="O6" s="65">
        <v>54</v>
      </c>
      <c r="P6" s="60">
        <v>19</v>
      </c>
      <c r="Q6" s="64">
        <f>('Data &amp; PV'!$J$8/(1+5%)^'Type 2 Diabeties'!P6)</f>
        <v>252.47826457662308</v>
      </c>
    </row>
    <row r="7" spans="1:17">
      <c r="A7" s="106">
        <v>55</v>
      </c>
      <c r="B7">
        <v>20</v>
      </c>
      <c r="C7" s="1">
        <f>('Data &amp; PV'!$G$8/(1+5%)^B7)</f>
        <v>3267.8150247478766</v>
      </c>
      <c r="O7" s="63">
        <v>55</v>
      </c>
      <c r="P7" s="59">
        <v>20</v>
      </c>
      <c r="Q7" s="64">
        <f>('Data &amp; PV'!$J$8/(1+5%)^'Type 2 Diabeties'!P7)</f>
        <v>240.45549007297438</v>
      </c>
    </row>
    <row r="8" spans="1:17">
      <c r="A8" s="106">
        <v>56</v>
      </c>
      <c r="B8">
        <v>21</v>
      </c>
      <c r="C8" s="1">
        <f>('Data &amp; PV'!$G$8/(1+5%)^B8)</f>
        <v>3112.2047854741686</v>
      </c>
      <c r="O8" s="65">
        <v>56</v>
      </c>
      <c r="P8" s="60">
        <v>21</v>
      </c>
      <c r="Q8" s="64">
        <f>('Data &amp; PV'!$J$8/(1+5%)^'Type 2 Diabeties'!P8)</f>
        <v>229.00522864092798</v>
      </c>
    </row>
    <row r="9" spans="1:17">
      <c r="A9" s="106">
        <v>57</v>
      </c>
      <c r="B9">
        <v>22</v>
      </c>
      <c r="C9" s="1">
        <f>('Data &amp; PV'!$G$8/(1+5%)^B9)</f>
        <v>2964.0045575944464</v>
      </c>
      <c r="O9" s="63">
        <v>57</v>
      </c>
      <c r="P9" s="59">
        <v>22</v>
      </c>
      <c r="Q9" s="64">
        <f>('Data &amp; PV'!$J$8/(1+5%)^'Type 2 Diabeties'!P9)</f>
        <v>218.10021775326476</v>
      </c>
    </row>
    <row r="10" spans="1:17" s="3" customFormat="1">
      <c r="A10" s="106">
        <v>58</v>
      </c>
      <c r="B10">
        <v>23</v>
      </c>
      <c r="C10" s="1">
        <f>('Data &amp; PV'!$G$8/(1+5%)^B10)</f>
        <v>2822.8614834232817</v>
      </c>
      <c r="O10" s="65">
        <v>58</v>
      </c>
      <c r="P10" s="60">
        <v>23</v>
      </c>
      <c r="Q10" s="64">
        <f>('Data &amp; PV'!$J$8/(1+5%)^'Type 2 Diabeties'!P10)</f>
        <v>207.71449309834736</v>
      </c>
    </row>
    <row r="11" spans="1:17">
      <c r="A11" s="106">
        <v>59</v>
      </c>
      <c r="B11">
        <v>24</v>
      </c>
      <c r="C11" s="1">
        <f>('Data &amp; PV'!$G$8/(1+5%)^B11)</f>
        <v>2688.4395080221734</v>
      </c>
      <c r="O11" s="63">
        <v>59</v>
      </c>
      <c r="P11" s="59">
        <v>24</v>
      </c>
      <c r="Q11" s="64">
        <f>('Data &amp; PV'!$J$8/(1+5%)^'Type 2 Diabeties'!P11)</f>
        <v>197.82332676033084</v>
      </c>
    </row>
    <row r="12" spans="1:17">
      <c r="A12" s="106">
        <v>60</v>
      </c>
      <c r="B12">
        <v>25</v>
      </c>
      <c r="C12" s="1">
        <f>('Data &amp; PV'!$G$8/(1+5%)^B12)</f>
        <v>2560.4185790687366</v>
      </c>
      <c r="O12" s="65">
        <v>60</v>
      </c>
      <c r="P12" s="60">
        <v>25</v>
      </c>
      <c r="Q12" s="64">
        <f>('Data &amp; PV'!$J$8/(1+5%)^'Type 2 Diabeties'!P12)</f>
        <v>188.40316834317221</v>
      </c>
    </row>
    <row r="13" spans="1:17">
      <c r="A13" s="106">
        <v>61</v>
      </c>
      <c r="B13">
        <v>26</v>
      </c>
      <c r="C13" s="1">
        <f>('Data &amp; PV'!$G$8/(1+5%)^B13)</f>
        <v>2438.4938848273678</v>
      </c>
      <c r="O13" s="63">
        <v>61</v>
      </c>
      <c r="P13" s="59">
        <v>26</v>
      </c>
      <c r="Q13" s="64">
        <f>('Data &amp; PV'!$J$8/(1+5%)^'Type 2 Diabeties'!P13)</f>
        <v>179.43158889825926</v>
      </c>
    </row>
    <row r="14" spans="1:17">
      <c r="A14" s="106">
        <v>62</v>
      </c>
      <c r="B14">
        <v>27</v>
      </c>
      <c r="C14" s="1">
        <f>('Data &amp; PV'!$G$8/(1+5%)^B14)</f>
        <v>2322.3751284070167</v>
      </c>
      <c r="O14" s="65">
        <v>62</v>
      </c>
      <c r="P14" s="60">
        <v>27</v>
      </c>
      <c r="Q14" s="64">
        <f>('Data &amp; PV'!$J$8/(1+5%)^'Type 2 Diabeties'!P14)</f>
        <v>170.88722752215165</v>
      </c>
    </row>
    <row r="15" spans="1:17" ht="18" customHeight="1">
      <c r="A15" s="106">
        <v>63</v>
      </c>
      <c r="B15">
        <v>28</v>
      </c>
      <c r="C15" s="1">
        <f>('Data &amp; PV'!$G$8/(1+5%)^B15)</f>
        <v>2211.7858365781117</v>
      </c>
      <c r="D15" s="5"/>
      <c r="E15" s="5"/>
      <c r="F15" s="5"/>
      <c r="O15" s="63">
        <v>63</v>
      </c>
      <c r="P15" s="59">
        <v>28</v>
      </c>
      <c r="Q15" s="64">
        <f>('Data &amp; PV'!$J$8/(1+5%)^'Type 2 Diabeties'!P15)</f>
        <v>162.74974049728732</v>
      </c>
    </row>
    <row r="16" spans="1:17">
      <c r="A16" s="106">
        <v>64</v>
      </c>
      <c r="B16">
        <v>29</v>
      </c>
      <c r="C16" s="1">
        <f>('Data &amp; PV'!$G$8/(1+5%)^B16)</f>
        <v>2106.4627015029632</v>
      </c>
      <c r="O16" s="65">
        <v>64</v>
      </c>
      <c r="P16" s="60">
        <v>29</v>
      </c>
      <c r="Q16" s="64">
        <f>('Data &amp; PV'!$J$8/(1+5%)^'Type 2 Diabeties'!P16)</f>
        <v>154.99975285455932</v>
      </c>
    </row>
    <row r="17" spans="1:17">
      <c r="A17" s="106">
        <v>65</v>
      </c>
      <c r="B17">
        <v>30</v>
      </c>
      <c r="C17" s="1">
        <f>('Data &amp; PV'!$G$8/(1+5%)^B17)</f>
        <v>2006.1549538123465</v>
      </c>
      <c r="O17" s="63">
        <v>65</v>
      </c>
      <c r="P17" s="59">
        <v>30</v>
      </c>
      <c r="Q17" s="64">
        <f>('Data &amp; PV'!$J$8/(1+5%)^'Type 2 Diabeties'!P17)</f>
        <v>147.61881224243749</v>
      </c>
    </row>
    <row r="18" spans="1:17">
      <c r="A18" s="106">
        <v>66</v>
      </c>
      <c r="B18">
        <v>31</v>
      </c>
      <c r="C18" s="1">
        <f>('Data &amp; PV'!$G$8/(1+5%)^B18)</f>
        <v>1910.6237655355674</v>
      </c>
      <c r="O18" s="11" t="s">
        <v>142</v>
      </c>
      <c r="Q18" s="4">
        <f>SUM(Q5:Q17)</f>
        <v>2349.6673112603353</v>
      </c>
    </row>
    <row r="19" spans="1:17">
      <c r="A19" s="106">
        <v>67</v>
      </c>
      <c r="B19">
        <v>32</v>
      </c>
      <c r="C19" s="1">
        <f>('Data &amp; PV'!$G$8/(1+5%)^B19)</f>
        <v>1819.6416814624451</v>
      </c>
    </row>
    <row r="20" spans="1:17">
      <c r="A20" s="106">
        <v>68</v>
      </c>
      <c r="B20">
        <v>33</v>
      </c>
      <c r="C20" s="1">
        <f>('Data &amp; PV'!$G$8/(1+5%)^B20)</f>
        <v>1732.9920775832811</v>
      </c>
    </row>
    <row r="21" spans="1:17">
      <c r="A21" s="106">
        <v>69</v>
      </c>
      <c r="B21">
        <v>34</v>
      </c>
      <c r="C21" s="1">
        <f>('Data &amp; PV'!$G$8/(1+5%)^B21)</f>
        <v>1650.4686453174106</v>
      </c>
    </row>
    <row r="22" spans="1:17">
      <c r="A22" s="106">
        <v>70</v>
      </c>
      <c r="B22">
        <v>35</v>
      </c>
      <c r="C22" s="1">
        <f>('Data &amp; PV'!$G$8/(1+5%)^B22)</f>
        <v>1571.8749003022956</v>
      </c>
    </row>
    <row r="23" spans="1:17">
      <c r="A23" s="106">
        <v>71</v>
      </c>
      <c r="B23">
        <v>36</v>
      </c>
      <c r="C23" s="1">
        <f>('Data &amp; PV'!$G$8/(1+5%)^B23)</f>
        <v>1497.0237145736151</v>
      </c>
    </row>
    <row r="24" spans="1:17">
      <c r="A24" s="106">
        <v>72</v>
      </c>
      <c r="B24">
        <v>37</v>
      </c>
      <c r="C24" s="1">
        <f>('Data &amp; PV'!$G$8/(1+5%)^B24)</f>
        <v>1425.7368710224905</v>
      </c>
    </row>
    <row r="25" spans="1:17">
      <c r="A25" s="106">
        <v>73</v>
      </c>
      <c r="B25">
        <v>38</v>
      </c>
      <c r="C25" s="1">
        <f>('Data &amp; PV'!$G$8/(1+5%)^B25)</f>
        <v>1357.8446390690387</v>
      </c>
    </row>
    <row r="26" spans="1:17">
      <c r="A26" s="106">
        <v>74</v>
      </c>
      <c r="B26">
        <v>39</v>
      </c>
      <c r="C26" s="1">
        <f>('Data &amp; PV'!$G$8/(1+5%)^B26)</f>
        <v>1293.1853705419414</v>
      </c>
    </row>
    <row r="27" spans="1:17">
      <c r="A27" s="106">
        <v>75</v>
      </c>
      <c r="B27">
        <v>40</v>
      </c>
      <c r="C27" s="1">
        <f>('Data &amp; PV'!$G$8/(1+5%)^B27)</f>
        <v>1231.6051148018491</v>
      </c>
    </row>
    <row r="28" spans="1:17">
      <c r="A28" s="106">
        <v>76</v>
      </c>
      <c r="B28">
        <v>41</v>
      </c>
      <c r="C28" s="1">
        <f>('Data &amp; PV'!$G$8/(1+5%)^B28)</f>
        <v>1172.9572521922371</v>
      </c>
    </row>
    <row r="29" spans="1:17">
      <c r="A29" s="106">
        <v>77</v>
      </c>
      <c r="B29">
        <v>42</v>
      </c>
      <c r="C29" s="1">
        <f>('Data &amp; PV'!$G$8/(1+5%)^B29)</f>
        <v>1117.1021449449877</v>
      </c>
    </row>
    <row r="30" spans="1:17">
      <c r="A30" s="106">
        <v>78</v>
      </c>
      <c r="B30">
        <v>43</v>
      </c>
      <c r="C30" s="1">
        <f>('Data &amp; PV'!$G$8/(1+5%)^B30)</f>
        <v>1063.906804709512</v>
      </c>
    </row>
    <row r="31" spans="1:17">
      <c r="A31" s="11" t="s">
        <v>99</v>
      </c>
      <c r="B31" s="11"/>
      <c r="C31" s="21">
        <f>SUM(C5:C30)</f>
        <v>50777.185201500433</v>
      </c>
    </row>
  </sheetData>
  <mergeCells count="6">
    <mergeCell ref="A3:C3"/>
    <mergeCell ref="A2:C2"/>
    <mergeCell ref="A1:C1"/>
    <mergeCell ref="O1:Q1"/>
    <mergeCell ref="O2:Q2"/>
    <mergeCell ref="O3:Q3"/>
  </mergeCells>
  <pageMargins left="0.7" right="0.7" top="0.75" bottom="0.75" header="0.3" footer="0.3"/>
  <tableParts count="2"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P45"/>
  <sheetViews>
    <sheetView workbookViewId="0">
      <selection activeCell="N6" sqref="N6"/>
    </sheetView>
  </sheetViews>
  <sheetFormatPr defaultColWidth="8.85546875" defaultRowHeight="15"/>
  <cols>
    <col min="3" max="3" width="13.85546875" style="1" bestFit="1" customWidth="1"/>
    <col min="12" max="12" width="10.7109375" customWidth="1"/>
    <col min="13" max="13" width="12.42578125" customWidth="1"/>
    <col min="14" max="14" width="9.140625" bestFit="1" customWidth="1"/>
  </cols>
  <sheetData>
    <row r="1" spans="1:16" ht="27.75" customHeight="1">
      <c r="A1" s="326" t="s">
        <v>143</v>
      </c>
      <c r="B1" s="327"/>
      <c r="C1" s="327"/>
      <c r="D1" s="8"/>
      <c r="E1" s="8"/>
      <c r="F1" s="8"/>
      <c r="G1" s="8"/>
      <c r="L1" s="326" t="s">
        <v>144</v>
      </c>
      <c r="M1" s="327"/>
      <c r="N1" s="327"/>
    </row>
    <row r="2" spans="1:16" s="3" customFormat="1">
      <c r="A2" s="326" t="s">
        <v>89</v>
      </c>
      <c r="B2" s="327"/>
      <c r="C2" s="327"/>
      <c r="D2" s="7"/>
      <c r="E2" s="7"/>
      <c r="F2" s="7"/>
      <c r="L2" s="326" t="s">
        <v>132</v>
      </c>
      <c r="M2" s="327"/>
      <c r="N2" s="327"/>
    </row>
    <row r="3" spans="1:16" s="3" customFormat="1" ht="38.25" customHeight="1">
      <c r="A3" s="326" t="s">
        <v>145</v>
      </c>
      <c r="B3" s="327"/>
      <c r="C3" s="327"/>
      <c r="D3" s="6"/>
      <c r="E3" s="6"/>
      <c r="F3" s="6"/>
      <c r="L3" s="326" t="s">
        <v>146</v>
      </c>
      <c r="M3" s="327"/>
      <c r="N3" s="327"/>
    </row>
    <row r="4" spans="1:16">
      <c r="A4" t="s">
        <v>94</v>
      </c>
      <c r="B4" t="s">
        <v>95</v>
      </c>
      <c r="C4" s="1" t="s">
        <v>96</v>
      </c>
      <c r="L4" t="s">
        <v>94</v>
      </c>
      <c r="M4" t="s">
        <v>95</v>
      </c>
      <c r="N4" s="1" t="s">
        <v>96</v>
      </c>
    </row>
    <row r="5" spans="1:16">
      <c r="A5" s="106" t="s">
        <v>147</v>
      </c>
      <c r="B5">
        <v>3</v>
      </c>
      <c r="C5" s="1">
        <f>(0/(1+5%)^B5)</f>
        <v>0</v>
      </c>
      <c r="D5" s="82" t="s">
        <v>148</v>
      </c>
      <c r="E5" s="82"/>
      <c r="L5" s="106" t="s">
        <v>147</v>
      </c>
      <c r="M5">
        <v>3</v>
      </c>
      <c r="N5" s="1">
        <f>(0/(1+5%)^M5)</f>
        <v>0</v>
      </c>
      <c r="O5" s="82" t="s">
        <v>149</v>
      </c>
      <c r="P5" s="82"/>
    </row>
    <row r="6" spans="1:16">
      <c r="A6" s="106">
        <v>40</v>
      </c>
      <c r="B6">
        <v>4</v>
      </c>
      <c r="C6" s="1">
        <f>('Data &amp; PV'!$G$9/(1+5%)^B6)</f>
        <v>1683.4707670158009</v>
      </c>
      <c r="L6" s="106">
        <v>40</v>
      </c>
      <c r="M6">
        <v>4</v>
      </c>
      <c r="N6" s="1">
        <f>('Data &amp; PV'!$J$9/(1+5%)^M6)</f>
        <v>177.50628596109647</v>
      </c>
    </row>
    <row r="7" spans="1:16">
      <c r="A7" s="106">
        <v>41</v>
      </c>
      <c r="B7">
        <v>5</v>
      </c>
      <c r="C7" s="1">
        <f>('Data &amp; PV'!$G$9/(1+5%)^B7)</f>
        <v>1603.3054923960008</v>
      </c>
      <c r="L7" s="106">
        <v>41</v>
      </c>
      <c r="M7">
        <v>5</v>
      </c>
      <c r="N7" s="1">
        <f>('Data &amp; PV'!$J$9/(1+5%)^M7)</f>
        <v>169.05360567723471</v>
      </c>
    </row>
    <row r="8" spans="1:16">
      <c r="A8" s="106">
        <v>42</v>
      </c>
      <c r="B8">
        <v>6</v>
      </c>
      <c r="C8" s="1">
        <f>('Data &amp; PV'!$G$9/(1+5%)^B8)</f>
        <v>1526.9576118057153</v>
      </c>
      <c r="L8" s="106">
        <v>42</v>
      </c>
      <c r="M8">
        <v>6</v>
      </c>
      <c r="N8" s="1">
        <f>('Data &amp; PV'!$J$9/(1+5%)^M8)</f>
        <v>161.00343397831881</v>
      </c>
    </row>
    <row r="9" spans="1:16">
      <c r="A9" s="106">
        <v>43</v>
      </c>
      <c r="B9">
        <v>7</v>
      </c>
      <c r="C9" s="1">
        <f>('Data &amp; PV'!$G$9/(1+5%)^B9)</f>
        <v>1454.2453445768713</v>
      </c>
      <c r="L9" s="106">
        <v>43</v>
      </c>
      <c r="M9">
        <v>7</v>
      </c>
      <c r="N9" s="1">
        <f>('Data &amp; PV'!$J$9/(1+5%)^M9)</f>
        <v>153.33660378887501</v>
      </c>
    </row>
    <row r="10" spans="1:16">
      <c r="A10" s="106">
        <v>44</v>
      </c>
      <c r="B10">
        <v>8</v>
      </c>
      <c r="C10" s="1">
        <f>('Data &amp; PV'!$G$9/(1+5%)^B10)</f>
        <v>1384.9955662636871</v>
      </c>
      <c r="L10" s="106">
        <v>44</v>
      </c>
      <c r="M10">
        <v>8</v>
      </c>
      <c r="N10" s="1">
        <f>('Data &amp; PV'!$J$9/(1+5%)^M10)</f>
        <v>146.03486075130957</v>
      </c>
    </row>
    <row r="11" spans="1:16" s="3" customFormat="1">
      <c r="A11" s="106">
        <v>45</v>
      </c>
      <c r="B11">
        <v>9</v>
      </c>
      <c r="C11" s="1">
        <f>('Data &amp; PV'!$G$9/(1+5%)^B11)</f>
        <v>1319.0433964416068</v>
      </c>
      <c r="L11" s="106">
        <v>45</v>
      </c>
      <c r="M11">
        <v>9</v>
      </c>
      <c r="N11" s="1">
        <f>('Data &amp; PV'!$J$9/(1+5%)^M11)</f>
        <v>139.08081976315196</v>
      </c>
    </row>
    <row r="12" spans="1:16">
      <c r="A12" s="106">
        <v>46</v>
      </c>
      <c r="B12">
        <v>10</v>
      </c>
      <c r="C12" s="1">
        <f>('Data &amp; PV'!$G$9/(1+5%)^B12)</f>
        <v>1256.2318061348635</v>
      </c>
      <c r="L12" s="106">
        <v>46</v>
      </c>
      <c r="M12">
        <v>10</v>
      </c>
      <c r="N12" s="1">
        <f>('Data &amp; PV'!$J$9/(1+5%)^M12)</f>
        <v>132.45792358395425</v>
      </c>
    </row>
    <row r="13" spans="1:16">
      <c r="A13" s="106">
        <v>47</v>
      </c>
      <c r="B13">
        <v>11</v>
      </c>
      <c r="C13" s="1">
        <f>('Data &amp; PV'!$G$9/(1+5%)^B13)</f>
        <v>1196.4112439379653</v>
      </c>
      <c r="L13" s="106">
        <v>47</v>
      </c>
      <c r="M13">
        <v>11</v>
      </c>
      <c r="N13" s="1">
        <f>('Data &amp; PV'!$J$9/(1+5%)^M13)</f>
        <v>126.15040341328975</v>
      </c>
    </row>
    <row r="14" spans="1:16">
      <c r="A14" s="106">
        <v>48</v>
      </c>
      <c r="B14">
        <v>12</v>
      </c>
      <c r="C14" s="1">
        <f>('Data &amp; PV'!$G$9/(1+5%)^B14)</f>
        <v>1139.4392799409195</v>
      </c>
      <c r="L14" s="106">
        <v>48</v>
      </c>
      <c r="M14">
        <v>12</v>
      </c>
      <c r="N14" s="1">
        <f>('Data &amp; PV'!$J$9/(1+5%)^M14)</f>
        <v>120.14324134599025</v>
      </c>
    </row>
    <row r="15" spans="1:16">
      <c r="A15" s="106">
        <v>49</v>
      </c>
      <c r="B15">
        <v>13</v>
      </c>
      <c r="C15" s="1">
        <f>('Data &amp; PV'!$G$9/(1+5%)^B15)</f>
        <v>1085.1802666103993</v>
      </c>
      <c r="L15" s="106">
        <v>49</v>
      </c>
      <c r="M15">
        <v>13</v>
      </c>
      <c r="N15" s="1">
        <f>('Data &amp; PV'!$J$9/(1+5%)^M15)</f>
        <v>114.42213461522879</v>
      </c>
    </row>
    <row r="16" spans="1:16" ht="18" customHeight="1">
      <c r="A16" s="106">
        <v>50</v>
      </c>
      <c r="B16">
        <v>14</v>
      </c>
      <c r="C16" s="1">
        <f>('Data &amp; PV'!$G$9/(1+5%)^B16)</f>
        <v>1033.5050158194281</v>
      </c>
      <c r="D16" s="5"/>
      <c r="E16" s="5"/>
      <c r="F16" s="5"/>
      <c r="L16" s="106">
        <v>50</v>
      </c>
      <c r="M16">
        <v>14</v>
      </c>
      <c r="N16" s="1">
        <f>('Data &amp; PV'!$J$9/(1+5%)^M16)</f>
        <v>108.97346153831316</v>
      </c>
    </row>
    <row r="17" spans="1:14">
      <c r="A17" s="106">
        <v>51</v>
      </c>
      <c r="B17">
        <v>15</v>
      </c>
      <c r="C17" s="1">
        <f>('Data &amp; PV'!$G$9/(1+5%)^B17)</f>
        <v>984.29049125659787</v>
      </c>
      <c r="L17" s="106">
        <v>51</v>
      </c>
      <c r="M17">
        <v>15</v>
      </c>
      <c r="N17" s="1">
        <f>('Data &amp; PV'!$J$9/(1+5%)^M17)</f>
        <v>103.78424908410774</v>
      </c>
    </row>
    <row r="18" spans="1:14">
      <c r="A18" s="106">
        <v>52</v>
      </c>
      <c r="B18">
        <v>16</v>
      </c>
      <c r="C18" s="1">
        <f>('Data &amp; PV'!$G$9/(1+5%)^B18)</f>
        <v>937.41951548247425</v>
      </c>
      <c r="L18" s="106">
        <v>52</v>
      </c>
      <c r="M18">
        <v>16</v>
      </c>
      <c r="N18" s="1">
        <f>('Data &amp; PV'!$J$9/(1+5%)^M18)</f>
        <v>98.842141984864526</v>
      </c>
    </row>
    <row r="19" spans="1:14">
      <c r="A19" s="106">
        <v>53</v>
      </c>
      <c r="B19">
        <v>17</v>
      </c>
      <c r="C19" s="1">
        <f>('Data &amp; PV'!$G$9/(1+5%)^B19)</f>
        <v>892.78049093568973</v>
      </c>
      <c r="L19" s="106">
        <v>53</v>
      </c>
      <c r="M19">
        <v>17</v>
      </c>
      <c r="N19" s="1">
        <f>('Data &amp; PV'!$J$9/(1+5%)^M19)</f>
        <v>94.135373318918582</v>
      </c>
    </row>
    <row r="20" spans="1:14">
      <c r="A20" s="106">
        <v>54</v>
      </c>
      <c r="B20">
        <v>18</v>
      </c>
      <c r="C20" s="1">
        <f>('Data &amp; PV'!$G$9/(1+5%)^B20)</f>
        <v>850.26713422446642</v>
      </c>
      <c r="L20" s="106">
        <v>54</v>
      </c>
      <c r="M20">
        <v>18</v>
      </c>
      <c r="N20" s="1">
        <f>('Data &amp; PV'!$J$9/(1+5%)^M20)</f>
        <v>89.65273649420817</v>
      </c>
    </row>
    <row r="21" spans="1:14">
      <c r="A21" s="106">
        <v>55</v>
      </c>
      <c r="B21">
        <v>19</v>
      </c>
      <c r="C21" s="1">
        <f>('Data &amp; PV'!$G$9/(1+5%)^B21)</f>
        <v>809.77822307092038</v>
      </c>
      <c r="L21" s="106">
        <v>55</v>
      </c>
      <c r="M21">
        <v>19</v>
      </c>
      <c r="N21" s="1">
        <f>('Data &amp; PV'!$J$9/(1+5%)^M21)</f>
        <v>85.383558565912537</v>
      </c>
    </row>
    <row r="22" spans="1:14">
      <c r="A22" s="106">
        <v>56</v>
      </c>
      <c r="B22">
        <v>20</v>
      </c>
      <c r="C22" s="1">
        <f>('Data &amp; PV'!$G$9/(1+5%)^B22)</f>
        <v>771.21735530563842</v>
      </c>
      <c r="L22" s="106">
        <v>56</v>
      </c>
      <c r="M22">
        <v>20</v>
      </c>
      <c r="N22" s="1">
        <f>('Data &amp; PV'!$J$9/(1+5%)^M22)</f>
        <v>81.317674824678619</v>
      </c>
    </row>
    <row r="23" spans="1:14">
      <c r="A23" s="106">
        <v>57</v>
      </c>
      <c r="B23">
        <v>21</v>
      </c>
      <c r="C23" s="1">
        <f>('Data &amp; PV'!$G$9/(1+5%)^B23)</f>
        <v>734.4927193387033</v>
      </c>
      <c r="L23" s="106">
        <v>57</v>
      </c>
      <c r="M23">
        <v>21</v>
      </c>
      <c r="N23" s="1">
        <f>('Data &amp; PV'!$J$9/(1+5%)^M23)</f>
        <v>77.445404594932015</v>
      </c>
    </row>
    <row r="24" spans="1:14">
      <c r="A24" s="106">
        <v>58</v>
      </c>
      <c r="B24">
        <v>22</v>
      </c>
      <c r="C24" s="1">
        <f>('Data &amp; PV'!$G$9/(1+5%)^B24)</f>
        <v>699.51687556066986</v>
      </c>
      <c r="L24" s="106">
        <v>58</v>
      </c>
      <c r="M24">
        <v>22</v>
      </c>
      <c r="N24" s="1">
        <f>('Data &amp; PV'!$J$9/(1+5%)^M24)</f>
        <v>73.757528185649548</v>
      </c>
    </row>
    <row r="25" spans="1:14">
      <c r="A25" s="106">
        <v>59</v>
      </c>
      <c r="B25">
        <v>23</v>
      </c>
      <c r="C25" s="1">
        <f>('Data &amp; PV'!$G$9/(1+5%)^B25)</f>
        <v>666.20654815301873</v>
      </c>
      <c r="L25" s="106">
        <v>59</v>
      </c>
      <c r="M25">
        <v>23</v>
      </c>
      <c r="N25" s="1">
        <f>('Data &amp; PV'!$J$9/(1+5%)^M25)</f>
        <v>70.245264938713845</v>
      </c>
    </row>
    <row r="26" spans="1:14">
      <c r="A26" s="106">
        <v>60</v>
      </c>
      <c r="B26">
        <v>24</v>
      </c>
      <c r="C26" s="1">
        <f>('Data &amp; PV'!$G$9/(1+5%)^B26)</f>
        <v>634.4824268123989</v>
      </c>
      <c r="L26" s="106">
        <v>60</v>
      </c>
      <c r="M26">
        <v>24</v>
      </c>
      <c r="N26" s="1">
        <f>('Data &amp; PV'!$J$9/(1+5%)^M26)</f>
        <v>66.90025232258462</v>
      </c>
    </row>
    <row r="27" spans="1:14">
      <c r="A27" s="106">
        <v>61</v>
      </c>
      <c r="B27">
        <v>25</v>
      </c>
      <c r="C27" s="1">
        <f>('Data &amp; PV'!$G$9/(1+5%)^B27)</f>
        <v>604.26897791657041</v>
      </c>
      <c r="L27" s="106">
        <v>61</v>
      </c>
      <c r="M27">
        <v>25</v>
      </c>
      <c r="N27" s="1">
        <f>('Data &amp; PV'!$J$9/(1+5%)^M27)</f>
        <v>63.714526021509158</v>
      </c>
    </row>
    <row r="28" spans="1:14">
      <c r="A28" s="106">
        <v>62</v>
      </c>
      <c r="B28">
        <v>26</v>
      </c>
      <c r="C28" s="1">
        <f>('Data &amp; PV'!$G$9/(1+5%)^B28)</f>
        <v>575.49426468244792</v>
      </c>
      <c r="L28" s="106">
        <v>62</v>
      </c>
      <c r="M28">
        <v>26</v>
      </c>
      <c r="N28" s="1">
        <f>('Data &amp; PV'!$J$9/(1+5%)^M28)</f>
        <v>60.680500972865865</v>
      </c>
    </row>
    <row r="29" spans="1:14">
      <c r="A29" s="106">
        <v>63</v>
      </c>
      <c r="B29">
        <v>27</v>
      </c>
      <c r="C29" s="1">
        <f>('Data &amp; PV'!$G$9/(1+5%)^B29)</f>
        <v>548.08977588804566</v>
      </c>
      <c r="L29" s="106">
        <v>63</v>
      </c>
      <c r="M29">
        <v>27</v>
      </c>
      <c r="N29" s="1">
        <f>('Data &amp; PV'!$J$9/(1+5%)^M29)</f>
        <v>57.790953307491293</v>
      </c>
    </row>
    <row r="30" spans="1:14">
      <c r="A30" s="106">
        <v>64</v>
      </c>
      <c r="B30">
        <v>28</v>
      </c>
      <c r="C30" s="1">
        <f>('Data &amp; PV'!$G$9/(1+5%)^B30)</f>
        <v>521.99026275051972</v>
      </c>
      <c r="L30" s="106">
        <v>64</v>
      </c>
      <c r="M30">
        <v>28</v>
      </c>
      <c r="N30" s="1">
        <f>('Data &amp; PV'!$J$9/(1+5%)^M30)</f>
        <v>55.039003149991714</v>
      </c>
    </row>
    <row r="31" spans="1:14">
      <c r="A31" s="106">
        <v>65</v>
      </c>
      <c r="B31">
        <v>29</v>
      </c>
      <c r="C31" s="1">
        <f>('Data &amp; PV'!$G$9/(1+5%)^B31)</f>
        <v>497.13358357192345</v>
      </c>
      <c r="L31" s="106">
        <v>65</v>
      </c>
      <c r="M31">
        <v>29</v>
      </c>
      <c r="N31" s="1">
        <f>('Data &amp; PV'!$J$9/(1+5%)^M31)</f>
        <v>52.418098238087339</v>
      </c>
    </row>
    <row r="32" spans="1:14">
      <c r="A32" s="106">
        <v>66</v>
      </c>
      <c r="B32">
        <v>30</v>
      </c>
      <c r="C32" s="1">
        <f>('Data &amp; PV'!$G$9/(1+5%)^B32)</f>
        <v>473.46055578278441</v>
      </c>
      <c r="L32" s="224" t="s">
        <v>150</v>
      </c>
      <c r="M32" s="29"/>
      <c r="N32" s="223">
        <f>SUM(N5:N31)</f>
        <v>2679.2700404212778</v>
      </c>
    </row>
    <row r="33" spans="1:3" s="3" customFormat="1">
      <c r="A33" s="106">
        <v>67</v>
      </c>
      <c r="B33">
        <v>31</v>
      </c>
      <c r="C33" s="1">
        <f>('Data &amp; PV'!$G$9/(1+5%)^B33)</f>
        <v>450.91481503122304</v>
      </c>
    </row>
    <row r="34" spans="1:3">
      <c r="A34" s="106">
        <v>68</v>
      </c>
      <c r="B34">
        <v>32</v>
      </c>
      <c r="C34" s="1">
        <f>('Data &amp; PV'!$G$9/(1+5%)^B34)</f>
        <v>429.44268098211722</v>
      </c>
    </row>
    <row r="35" spans="1:3">
      <c r="A35" s="106">
        <v>69</v>
      </c>
      <c r="B35">
        <v>33</v>
      </c>
      <c r="C35" s="1">
        <f>('Data &amp; PV'!$G$9/(1+5%)^B35)</f>
        <v>408.99302950677833</v>
      </c>
    </row>
    <row r="36" spans="1:3">
      <c r="A36" s="106">
        <v>70</v>
      </c>
      <c r="B36">
        <v>34</v>
      </c>
      <c r="C36" s="1">
        <f>('Data &amp; PV'!$G$9/(1+5%)^B36)</f>
        <v>389.51717095883652</v>
      </c>
    </row>
    <row r="37" spans="1:3">
      <c r="A37" s="106">
        <v>71</v>
      </c>
      <c r="B37">
        <v>35</v>
      </c>
      <c r="C37" s="1">
        <f>('Data &amp; PV'!$G$9/(1+5%)^B37)</f>
        <v>370.96873424651091</v>
      </c>
    </row>
    <row r="38" spans="1:3">
      <c r="A38" s="106">
        <v>72</v>
      </c>
      <c r="B38">
        <v>36</v>
      </c>
      <c r="C38" s="1">
        <f>('Data &amp; PV'!$G$9/(1+5%)^B38)</f>
        <v>353.30355642524853</v>
      </c>
    </row>
    <row r="39" spans="1:3">
      <c r="A39" s="106">
        <v>73</v>
      </c>
      <c r="B39">
        <v>37</v>
      </c>
      <c r="C39" s="1">
        <f>('Data &amp; PV'!$G$9/(1+5%)^B39)</f>
        <v>336.47957754785568</v>
      </c>
    </row>
    <row r="40" spans="1:3">
      <c r="A40" s="106">
        <v>74</v>
      </c>
      <c r="B40">
        <v>38</v>
      </c>
      <c r="C40" s="1">
        <f>('Data &amp; PV'!$G$9/(1+5%)^B40)</f>
        <v>320.45674052176741</v>
      </c>
    </row>
    <row r="41" spans="1:3">
      <c r="A41" s="106">
        <v>75</v>
      </c>
      <c r="B41">
        <v>39</v>
      </c>
      <c r="C41" s="1">
        <f>('Data &amp; PV'!$G$9/(1+5%)^B41)</f>
        <v>305.19689573501648</v>
      </c>
    </row>
    <row r="42" spans="1:3">
      <c r="A42" s="106">
        <v>76</v>
      </c>
      <c r="B42">
        <v>40</v>
      </c>
      <c r="C42" s="1">
        <f>('Data &amp; PV'!$G$9/(1+5%)^B42)</f>
        <v>290.66371022382526</v>
      </c>
    </row>
    <row r="43" spans="1:3">
      <c r="A43" s="106">
        <v>77</v>
      </c>
      <c r="B43">
        <v>41</v>
      </c>
      <c r="C43" s="1">
        <f>('Data &amp; PV'!$G$9/(1+5%)^B43)</f>
        <v>276.82258116554789</v>
      </c>
    </row>
    <row r="44" spans="1:3" s="3" customFormat="1">
      <c r="A44" s="106">
        <v>78</v>
      </c>
      <c r="B44">
        <v>42</v>
      </c>
      <c r="C44" s="1">
        <f>('Data &amp; PV'!$G$9/(1+5%)^B44)</f>
        <v>263.64055349099795</v>
      </c>
    </row>
    <row r="45" spans="1:3">
      <c r="A45" s="177" t="s">
        <v>99</v>
      </c>
      <c r="B45" s="177"/>
      <c r="C45" s="4">
        <f>SUM(C5:C44)</f>
        <v>30080.075037511851</v>
      </c>
    </row>
  </sheetData>
  <mergeCells count="6">
    <mergeCell ref="A1:C1"/>
    <mergeCell ref="A2:C2"/>
    <mergeCell ref="A3:C3"/>
    <mergeCell ref="L1:N1"/>
    <mergeCell ref="L2:N2"/>
    <mergeCell ref="L3:N3"/>
  </mergeCells>
  <phoneticPr fontId="7" type="noConversion"/>
  <pageMargins left="0.7" right="0.7" top="0.75" bottom="0.75" header="0.3" footer="0.3"/>
  <tableParts count="2">
    <tablePart r:id="rId1"/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T47"/>
  <sheetViews>
    <sheetView workbookViewId="0">
      <selection activeCell="I11" sqref="I11"/>
    </sheetView>
  </sheetViews>
  <sheetFormatPr defaultColWidth="8.85546875" defaultRowHeight="15"/>
  <cols>
    <col min="3" max="3" width="13.85546875" style="1" bestFit="1" customWidth="1"/>
  </cols>
  <sheetData>
    <row r="1" spans="1:20" ht="35.25" customHeight="1">
      <c r="A1" s="326" t="s">
        <v>151</v>
      </c>
      <c r="B1" s="327"/>
      <c r="C1" s="327"/>
      <c r="D1" s="8"/>
      <c r="E1" s="8"/>
      <c r="F1" s="8"/>
      <c r="G1" s="8"/>
      <c r="K1" s="326" t="s">
        <v>152</v>
      </c>
      <c r="L1" s="327"/>
      <c r="M1" s="327"/>
    </row>
    <row r="2" spans="1:20" s="3" customFormat="1" ht="24" customHeight="1">
      <c r="A2" s="326" t="s">
        <v>89</v>
      </c>
      <c r="B2" s="327"/>
      <c r="C2" s="327"/>
      <c r="D2" s="7"/>
      <c r="E2" s="7"/>
      <c r="F2" s="7"/>
      <c r="K2" s="326" t="s">
        <v>132</v>
      </c>
      <c r="L2" s="327"/>
      <c r="M2" s="327"/>
    </row>
    <row r="3" spans="1:20" s="3" customFormat="1" ht="51" customHeight="1">
      <c r="A3" s="326" t="s">
        <v>153</v>
      </c>
      <c r="B3" s="327"/>
      <c r="C3" s="327"/>
      <c r="D3" s="6"/>
      <c r="E3" s="6"/>
      <c r="F3" s="6"/>
      <c r="K3" s="326" t="s">
        <v>154</v>
      </c>
      <c r="L3" s="327"/>
      <c r="M3" s="327"/>
    </row>
    <row r="4" spans="1:20">
      <c r="A4" t="s">
        <v>94</v>
      </c>
      <c r="B4" t="s">
        <v>95</v>
      </c>
      <c r="C4" s="1" t="s">
        <v>96</v>
      </c>
      <c r="K4" s="42" t="s">
        <v>94</v>
      </c>
      <c r="L4" s="43" t="s">
        <v>95</v>
      </c>
      <c r="M4" s="46" t="s">
        <v>96</v>
      </c>
    </row>
    <row r="5" spans="1:20">
      <c r="A5" s="106">
        <v>37</v>
      </c>
      <c r="B5">
        <v>0</v>
      </c>
      <c r="C5" s="1">
        <f>(0/(1+5%)^B5)</f>
        <v>0</v>
      </c>
      <c r="K5" s="63">
        <v>37</v>
      </c>
      <c r="L5" s="59">
        <v>0</v>
      </c>
      <c r="M5" s="64">
        <f>(0/(1+5%)^L5)</f>
        <v>0</v>
      </c>
    </row>
    <row r="6" spans="1:20">
      <c r="A6" s="106">
        <v>38</v>
      </c>
      <c r="B6">
        <v>1</v>
      </c>
      <c r="C6" s="1">
        <f>('Data &amp; PV'!$G$10/(1+5%)^B6)</f>
        <v>1724.8718790476189</v>
      </c>
      <c r="D6" s="79"/>
      <c r="E6" s="79"/>
      <c r="F6" s="79"/>
      <c r="G6" s="79"/>
      <c r="H6" s="79"/>
      <c r="I6" s="79"/>
      <c r="J6" s="79"/>
      <c r="K6" s="65">
        <v>38</v>
      </c>
      <c r="L6" s="60">
        <v>1</v>
      </c>
      <c r="M6" s="64">
        <f>('Data &amp; PV'!$J$10/(1+5%)^L6)</f>
        <v>82.857142857142847</v>
      </c>
      <c r="N6" s="79"/>
      <c r="O6" s="79"/>
      <c r="P6" s="79"/>
      <c r="Q6" s="79"/>
      <c r="R6" s="79"/>
      <c r="S6" s="79"/>
      <c r="T6" s="79"/>
    </row>
    <row r="7" spans="1:20">
      <c r="A7" s="106">
        <v>39</v>
      </c>
      <c r="B7">
        <v>2</v>
      </c>
      <c r="C7" s="1">
        <f>('Data &amp; PV'!$G$10/(1+5%)^B7)</f>
        <v>1642.7351229024941</v>
      </c>
      <c r="D7" s="79"/>
      <c r="E7" s="79"/>
      <c r="F7" s="79"/>
      <c r="G7" s="79"/>
      <c r="H7" s="79"/>
      <c r="I7" s="79"/>
      <c r="J7" s="79"/>
      <c r="K7" s="63">
        <v>39</v>
      </c>
      <c r="L7" s="59">
        <v>2</v>
      </c>
      <c r="M7" s="64">
        <f>('Data &amp; PV'!$J$10/(1+5%)^L7)</f>
        <v>78.911564625850332</v>
      </c>
      <c r="N7" s="79"/>
      <c r="O7" s="79"/>
      <c r="P7" s="79"/>
      <c r="Q7" s="79"/>
      <c r="R7" s="79"/>
      <c r="S7" s="79"/>
      <c r="T7" s="79"/>
    </row>
    <row r="8" spans="1:20">
      <c r="A8" s="106">
        <v>40</v>
      </c>
      <c r="B8">
        <v>3</v>
      </c>
      <c r="C8" s="1">
        <f>('Data &amp; PV'!$G$10/(1+5%)^B8)</f>
        <v>1564.5096408595182</v>
      </c>
      <c r="K8" s="65">
        <v>40</v>
      </c>
      <c r="L8" s="60">
        <v>3</v>
      </c>
      <c r="M8" s="64">
        <f>('Data &amp; PV'!$J$10/(1+5%)^L8)</f>
        <v>75.153871072238417</v>
      </c>
    </row>
    <row r="9" spans="1:20">
      <c r="A9" s="106">
        <v>41</v>
      </c>
      <c r="B9">
        <v>4</v>
      </c>
      <c r="C9" s="1">
        <f>('Data &amp; PV'!$G$10/(1+5%)^B9)</f>
        <v>1490.0091817709697</v>
      </c>
      <c r="K9" s="63">
        <v>41</v>
      </c>
      <c r="L9" s="59">
        <v>4</v>
      </c>
      <c r="M9" s="64">
        <f>('Data &amp; PV'!$J$10/(1+5%)^L9)</f>
        <v>71.575115306893736</v>
      </c>
    </row>
    <row r="10" spans="1:20">
      <c r="A10" s="106">
        <v>42</v>
      </c>
      <c r="B10">
        <v>5</v>
      </c>
      <c r="C10" s="1">
        <f>('Data &amp; PV'!$G$10/(1+5%)^B10)</f>
        <v>1419.0563635913995</v>
      </c>
      <c r="K10" s="65">
        <v>42</v>
      </c>
      <c r="L10" s="60">
        <v>5</v>
      </c>
      <c r="M10" s="64">
        <f>('Data &amp; PV'!$J$10/(1+5%)^L10)</f>
        <v>68.166776482755935</v>
      </c>
    </row>
    <row r="11" spans="1:20">
      <c r="A11" s="106">
        <v>43</v>
      </c>
      <c r="B11">
        <v>6</v>
      </c>
      <c r="C11" s="1">
        <f>('Data &amp; PV'!$G$10/(1+5%)^B11)</f>
        <v>1351.4822510394283</v>
      </c>
      <c r="K11" s="63">
        <v>43</v>
      </c>
      <c r="L11" s="59">
        <v>6</v>
      </c>
      <c r="M11" s="64">
        <f>('Data &amp; PV'!$J$10/(1+5%)^L11)</f>
        <v>64.920739507386614</v>
      </c>
    </row>
    <row r="12" spans="1:20">
      <c r="A12" s="106">
        <v>44</v>
      </c>
      <c r="B12">
        <v>7</v>
      </c>
      <c r="C12" s="1">
        <f>('Data &amp; PV'!$G$10/(1+5%)^B12)</f>
        <v>1287.125953370884</v>
      </c>
      <c r="K12" s="65">
        <v>44</v>
      </c>
      <c r="L12" s="60">
        <v>7</v>
      </c>
      <c r="M12" s="64">
        <f>('Data &amp; PV'!$J$10/(1+5%)^L12)</f>
        <v>61.829275721320563</v>
      </c>
    </row>
    <row r="13" spans="1:20">
      <c r="A13" s="106">
        <v>45</v>
      </c>
      <c r="B13">
        <v>8</v>
      </c>
      <c r="C13" s="1">
        <f>('Data &amp; PV'!$G$10/(1+5%)^B13)</f>
        <v>1225.8342413056039</v>
      </c>
      <c r="K13" s="63">
        <v>45</v>
      </c>
      <c r="L13" s="59">
        <v>8</v>
      </c>
      <c r="M13" s="64">
        <f>('Data &amp; PV'!$J$10/(1+5%)^L13)</f>
        <v>58.885024496495781</v>
      </c>
    </row>
    <row r="14" spans="1:20">
      <c r="A14" s="106">
        <v>46</v>
      </c>
      <c r="B14">
        <v>9</v>
      </c>
      <c r="C14" s="1">
        <f>('Data &amp; PV'!$G$10/(1+5%)^B14)</f>
        <v>1167.4611821958131</v>
      </c>
      <c r="K14" s="65">
        <v>46</v>
      </c>
      <c r="L14" s="60">
        <v>9</v>
      </c>
      <c r="M14" s="64">
        <f>('Data &amp; PV'!$J$10/(1+5%)^L14)</f>
        <v>56.080975710948366</v>
      </c>
    </row>
    <row r="15" spans="1:20">
      <c r="A15" s="106">
        <v>47</v>
      </c>
      <c r="B15">
        <v>10</v>
      </c>
      <c r="C15" s="1">
        <f>('Data &amp; PV'!$G$10/(1+5%)^B15)</f>
        <v>1111.867792567441</v>
      </c>
      <c r="K15" s="63">
        <v>47</v>
      </c>
      <c r="L15" s="59">
        <v>10</v>
      </c>
      <c r="M15" s="64">
        <f>('Data &amp; PV'!$J$10/(1+5%)^L15)</f>
        <v>53.410453058046059</v>
      </c>
    </row>
    <row r="16" spans="1:20">
      <c r="A16" s="106">
        <v>48</v>
      </c>
      <c r="B16">
        <v>11</v>
      </c>
      <c r="C16" s="1">
        <f>('Data &amp; PV'!$G$10/(1+5%)^B16)</f>
        <v>1058.9217072070867</v>
      </c>
      <c r="K16" s="65">
        <v>48</v>
      </c>
      <c r="L16" s="60">
        <v>11</v>
      </c>
      <c r="M16" s="64">
        <f>('Data &amp; PV'!$J$10/(1+5%)^L16)</f>
        <v>50.867098150520057</v>
      </c>
    </row>
    <row r="17" spans="1:13">
      <c r="A17" s="106">
        <v>49</v>
      </c>
      <c r="B17">
        <v>12</v>
      </c>
      <c r="C17" s="1">
        <f>('Data &amp; PV'!$G$10/(1+5%)^B17)</f>
        <v>1008.4968640067494</v>
      </c>
      <c r="K17" s="63">
        <v>49</v>
      </c>
      <c r="L17" s="59">
        <v>12</v>
      </c>
      <c r="M17" s="64">
        <f>('Data &amp; PV'!$J$10/(1+5%)^L17)</f>
        <v>48.444855381447681</v>
      </c>
    </row>
    <row r="18" spans="1:13">
      <c r="A18" s="106">
        <v>50</v>
      </c>
      <c r="B18">
        <v>13</v>
      </c>
      <c r="C18" s="1">
        <f>('Data &amp; PV'!$G$10/(1+5%)^B18)</f>
        <v>960.47320381595159</v>
      </c>
      <c r="K18" s="65">
        <v>50</v>
      </c>
      <c r="L18" s="60">
        <v>13</v>
      </c>
      <c r="M18" s="64">
        <f>('Data &amp; PV'!$J$10/(1+5%)^L18)</f>
        <v>46.137957506140637</v>
      </c>
    </row>
    <row r="19" spans="1:13">
      <c r="A19" s="106">
        <v>51</v>
      </c>
      <c r="B19">
        <v>14</v>
      </c>
      <c r="C19" s="1">
        <f>('Data &amp; PV'!$G$10/(1+5%)^B19)</f>
        <v>914.73638458662083</v>
      </c>
      <c r="K19" s="63">
        <v>51</v>
      </c>
      <c r="L19" s="59">
        <v>14</v>
      </c>
      <c r="M19" s="64">
        <f>('Data &amp; PV'!$J$10/(1+5%)^L19)</f>
        <v>43.94091191061014</v>
      </c>
    </row>
    <row r="20" spans="1:13" s="3" customFormat="1">
      <c r="A20" s="106">
        <v>52</v>
      </c>
      <c r="B20">
        <v>15</v>
      </c>
      <c r="C20" s="1">
        <f>('Data &amp; PV'!$G$10/(1+5%)^B20)</f>
        <v>871.1775091301148</v>
      </c>
      <c r="K20" s="65">
        <v>52</v>
      </c>
      <c r="L20" s="60">
        <v>15</v>
      </c>
      <c r="M20" s="64">
        <f>('Data &amp; PV'!$J$10/(1+5%)^L20)</f>
        <v>41.848487533914408</v>
      </c>
    </row>
    <row r="21" spans="1:13">
      <c r="A21" s="106">
        <v>53</v>
      </c>
      <c r="B21">
        <v>16</v>
      </c>
      <c r="C21" s="1">
        <f>('Data &amp; PV'!$G$10/(1+5%)^B21)</f>
        <v>829.69286583820463</v>
      </c>
      <c r="K21" s="63">
        <v>53</v>
      </c>
      <c r="L21" s="59">
        <v>16</v>
      </c>
      <c r="M21" s="64">
        <f>('Data &amp; PV'!$J$10/(1+5%)^L21)</f>
        <v>39.855702413251819</v>
      </c>
    </row>
    <row r="22" spans="1:13">
      <c r="A22" s="106">
        <v>54</v>
      </c>
      <c r="B22">
        <v>17</v>
      </c>
      <c r="C22" s="1">
        <f>('Data &amp; PV'!$G$10/(1+5%)^B22)</f>
        <v>790.18368175067098</v>
      </c>
      <c r="K22" s="65">
        <v>54</v>
      </c>
      <c r="L22" s="60">
        <v>17</v>
      </c>
      <c r="M22" s="64">
        <f>('Data &amp; PV'!$J$10/(1+5%)^L22)</f>
        <v>37.957811822144585</v>
      </c>
    </row>
    <row r="23" spans="1:13">
      <c r="A23" s="106">
        <v>55</v>
      </c>
      <c r="B23">
        <v>18</v>
      </c>
      <c r="C23" s="1">
        <f>('Data &amp; PV'!$G$10/(1+5%)^B23)</f>
        <v>752.55588738159145</v>
      </c>
      <c r="K23" s="63">
        <v>55</v>
      </c>
      <c r="L23" s="59">
        <v>18</v>
      </c>
      <c r="M23" s="64">
        <f>('Data &amp; PV'!$J$10/(1+5%)^L23)</f>
        <v>36.150296973471036</v>
      </c>
    </row>
    <row r="24" spans="1:13">
      <c r="A24" s="106">
        <v>56</v>
      </c>
      <c r="B24">
        <v>19</v>
      </c>
      <c r="C24" s="1">
        <f>('Data &amp; PV'!$G$10/(1+5%)^B24)</f>
        <v>716.71989274437283</v>
      </c>
      <c r="K24" s="65">
        <v>56</v>
      </c>
      <c r="L24" s="60">
        <v>19</v>
      </c>
      <c r="M24" s="64">
        <f>('Data &amp; PV'!$J$10/(1+5%)^L24)</f>
        <v>34.428854260448603</v>
      </c>
    </row>
    <row r="25" spans="1:13">
      <c r="A25" s="106">
        <v>57</v>
      </c>
      <c r="B25">
        <v>20</v>
      </c>
      <c r="C25" s="1">
        <f>('Data &amp; PV'!$G$10/(1+5%)^B25)</f>
        <v>682.59037404225978</v>
      </c>
      <c r="K25" s="63">
        <v>57</v>
      </c>
      <c r="L25" s="59">
        <v>20</v>
      </c>
      <c r="M25" s="64">
        <f>('Data &amp; PV'!$J$10/(1+5%)^L25)</f>
        <v>32.789385009951054</v>
      </c>
    </row>
    <row r="26" spans="1:13">
      <c r="A26" s="106">
        <v>58</v>
      </c>
      <c r="B26">
        <v>21</v>
      </c>
      <c r="C26" s="1">
        <f>('Data &amp; PV'!$G$10/(1+5%)^B26)</f>
        <v>650.08607051643799</v>
      </c>
      <c r="K26" s="65">
        <v>58</v>
      </c>
      <c r="L26" s="60">
        <v>21</v>
      </c>
      <c r="M26" s="64">
        <f>('Data &amp; PV'!$J$10/(1+5%)^L26)</f>
        <v>31.227985723762906</v>
      </c>
    </row>
    <row r="27" spans="1:13">
      <c r="A27" s="106">
        <v>59</v>
      </c>
      <c r="B27">
        <v>22</v>
      </c>
      <c r="C27" s="1">
        <f>('Data &amp; PV'!$G$10/(1+5%)^B27)</f>
        <v>619.12959096803615</v>
      </c>
      <c r="K27" s="63">
        <v>59</v>
      </c>
      <c r="L27" s="59">
        <v>22</v>
      </c>
      <c r="M27" s="64">
        <f>('Data &amp; PV'!$J$10/(1+5%)^L27)</f>
        <v>29.740938784536105</v>
      </c>
    </row>
    <row r="28" spans="1:13">
      <c r="A28" s="106">
        <v>60</v>
      </c>
      <c r="B28">
        <v>23</v>
      </c>
      <c r="C28" s="1">
        <f>('Data &amp; PV'!$G$10/(1+5%)^B28)</f>
        <v>589.6472294933676</v>
      </c>
      <c r="K28" s="65">
        <v>60</v>
      </c>
      <c r="L28" s="60">
        <v>23</v>
      </c>
      <c r="M28" s="64">
        <f>('Data &amp; PV'!$J$10/(1+5%)^L28)</f>
        <v>28.324703604320092</v>
      </c>
    </row>
    <row r="29" spans="1:13">
      <c r="A29" s="106">
        <v>61</v>
      </c>
      <c r="B29">
        <v>24</v>
      </c>
      <c r="C29" s="1">
        <f>('Data &amp; PV'!$G$10/(1+5%)^B29)</f>
        <v>561.56878999368359</v>
      </c>
      <c r="K29" s="63">
        <v>61</v>
      </c>
      <c r="L29" s="59">
        <v>24</v>
      </c>
      <c r="M29" s="64">
        <f>('Data &amp; PV'!$J$10/(1+5%)^L29)</f>
        <v>26.97590819459057</v>
      </c>
    </row>
    <row r="30" spans="1:13">
      <c r="A30" s="106">
        <v>62</v>
      </c>
      <c r="B30">
        <v>25</v>
      </c>
      <c r="C30" s="1">
        <f>('Data &amp; PV'!$G$10/(1+5%)^B30)</f>
        <v>534.82741904160332</v>
      </c>
      <c r="K30" s="65">
        <v>62</v>
      </c>
      <c r="L30" s="60">
        <v>25</v>
      </c>
      <c r="M30" s="64">
        <f>('Data &amp; PV'!$J$10/(1+5%)^L30)</f>
        <v>25.691341137705301</v>
      </c>
    </row>
    <row r="31" spans="1:13" s="3" customFormat="1">
      <c r="A31" s="106">
        <v>63</v>
      </c>
      <c r="B31">
        <v>26</v>
      </c>
      <c r="C31" s="1">
        <f>('Data &amp; PV'!$G$10/(1+5%)^B31)</f>
        <v>509.35944670628891</v>
      </c>
      <c r="K31" s="63">
        <v>63</v>
      </c>
      <c r="L31" s="59">
        <v>26</v>
      </c>
      <c r="M31" s="64">
        <f>('Data &amp; PV'!$J$10/(1+5%)^L31)</f>
        <v>24.467943940671717</v>
      </c>
    </row>
    <row r="32" spans="1:13">
      <c r="A32" s="106">
        <v>64</v>
      </c>
      <c r="B32">
        <v>27</v>
      </c>
      <c r="C32" s="1">
        <f>('Data &amp; PV'!$G$10/(1+5%)^B32)</f>
        <v>485.10423495837034</v>
      </c>
      <c r="K32" s="65">
        <v>64</v>
      </c>
      <c r="L32" s="60">
        <v>27</v>
      </c>
      <c r="M32" s="64">
        <f>('Data &amp; PV'!$J$10/(1+5%)^L32)</f>
        <v>23.30280375302068</v>
      </c>
    </row>
    <row r="33" spans="1:13">
      <c r="A33" s="106">
        <v>65</v>
      </c>
      <c r="B33">
        <v>28</v>
      </c>
      <c r="C33" s="1">
        <f>('Data &amp; PV'!$G$10/(1+5%)^B33)</f>
        <v>462.00403329368612</v>
      </c>
      <c r="K33" s="63">
        <v>65</v>
      </c>
      <c r="L33" s="59">
        <v>28</v>
      </c>
      <c r="M33" s="64">
        <f>('Data &amp; PV'!$J$10/(1+5%)^L33)</f>
        <v>22.19314643144827</v>
      </c>
    </row>
    <row r="34" spans="1:13">
      <c r="A34" s="106">
        <v>66</v>
      </c>
      <c r="B34">
        <v>29</v>
      </c>
      <c r="C34" s="1">
        <f>('Data &amp; PV'!$G$10/(1+5%)^B34)</f>
        <v>440.00384123208192</v>
      </c>
      <c r="K34" s="3" t="s">
        <v>119</v>
      </c>
      <c r="L34" s="3"/>
      <c r="M34" s="4">
        <f>SUM(M5:M33)</f>
        <v>1296.1370713710346</v>
      </c>
    </row>
    <row r="35" spans="1:13">
      <c r="A35" s="106">
        <v>67</v>
      </c>
      <c r="B35">
        <v>30</v>
      </c>
      <c r="C35" s="1">
        <f>('Data &amp; PV'!$G$10/(1+5%)^B35)</f>
        <v>419.05127736388772</v>
      </c>
    </row>
    <row r="36" spans="1:13">
      <c r="A36" s="106">
        <v>68</v>
      </c>
      <c r="B36">
        <v>31</v>
      </c>
      <c r="C36" s="1">
        <f>('Data &amp; PV'!$G$10/(1+5%)^B36)</f>
        <v>399.09645463227383</v>
      </c>
    </row>
    <row r="37" spans="1:13">
      <c r="A37" s="106">
        <v>69</v>
      </c>
      <c r="B37">
        <v>32</v>
      </c>
      <c r="C37" s="1">
        <f>('Data &amp; PV'!$G$10/(1+5%)^B37)</f>
        <v>380.09186155454654</v>
      </c>
    </row>
    <row r="38" spans="1:13">
      <c r="A38" s="106">
        <v>70</v>
      </c>
      <c r="B38">
        <v>33</v>
      </c>
      <c r="C38" s="1">
        <f>('Data &amp; PV'!$G$10/(1+5%)^B38)</f>
        <v>361.99224909956814</v>
      </c>
    </row>
    <row r="39" spans="1:13">
      <c r="A39" s="106">
        <v>71</v>
      </c>
      <c r="B39">
        <v>34</v>
      </c>
      <c r="C39" s="1">
        <f>('Data &amp; PV'!$G$10/(1+5%)^B39)</f>
        <v>344.75452295196965</v>
      </c>
    </row>
    <row r="40" spans="1:13">
      <c r="A40" s="106">
        <v>72</v>
      </c>
      <c r="B40">
        <v>35</v>
      </c>
      <c r="C40" s="1">
        <f>('Data &amp; PV'!$G$10/(1+5%)^B40)</f>
        <v>328.33764090663772</v>
      </c>
    </row>
    <row r="41" spans="1:13">
      <c r="A41" s="106">
        <v>73</v>
      </c>
      <c r="B41">
        <v>36</v>
      </c>
      <c r="C41" s="1">
        <f>('Data &amp; PV'!$G$10/(1+5%)^B41)</f>
        <v>312.70251514917885</v>
      </c>
    </row>
    <row r="42" spans="1:13">
      <c r="A42" s="106">
        <v>74</v>
      </c>
      <c r="B42">
        <v>37</v>
      </c>
      <c r="C42" s="1">
        <f>('Data &amp; PV'!$G$10/(1+5%)^B42)</f>
        <v>297.81191918969409</v>
      </c>
    </row>
    <row r="43" spans="1:13">
      <c r="A43" s="106">
        <v>75</v>
      </c>
      <c r="B43">
        <v>38</v>
      </c>
      <c r="C43" s="1">
        <f>('Data &amp; PV'!$G$10/(1+5%)^B43)</f>
        <v>283.63039922828011</v>
      </c>
    </row>
    <row r="44" spans="1:13">
      <c r="A44" s="106">
        <v>76</v>
      </c>
      <c r="B44">
        <v>39</v>
      </c>
      <c r="C44" s="1">
        <f>('Data &amp; PV'!$G$10/(1+5%)^B44)</f>
        <v>270.12418974121914</v>
      </c>
    </row>
    <row r="45" spans="1:13">
      <c r="A45" s="106">
        <v>77</v>
      </c>
      <c r="B45">
        <v>40</v>
      </c>
      <c r="C45" s="1">
        <f>('Data &amp; PV'!$G$10/(1+5%)^B45)</f>
        <v>257.26113308687536</v>
      </c>
    </row>
    <row r="46" spans="1:13">
      <c r="A46" s="106">
        <v>78</v>
      </c>
      <c r="B46">
        <v>41</v>
      </c>
      <c r="C46" s="1">
        <f>('Data &amp; PV'!$G$10/(1+5%)^B46)</f>
        <v>245.0106029398813</v>
      </c>
    </row>
    <row r="47" spans="1:13" s="3" customFormat="1">
      <c r="A47" s="177" t="s">
        <v>99</v>
      </c>
      <c r="B47" s="177"/>
      <c r="C47" s="4">
        <f>SUM(C5:C46)</f>
        <v>31322.097401202354</v>
      </c>
    </row>
  </sheetData>
  <mergeCells count="6">
    <mergeCell ref="A1:C1"/>
    <mergeCell ref="A2:C2"/>
    <mergeCell ref="A3:C3"/>
    <mergeCell ref="K1:M1"/>
    <mergeCell ref="K2:M2"/>
    <mergeCell ref="K3:M3"/>
  </mergeCells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7"/>
  <sheetViews>
    <sheetView workbookViewId="0">
      <selection activeCell="G12" sqref="G12"/>
    </sheetView>
  </sheetViews>
  <sheetFormatPr defaultColWidth="8.85546875" defaultRowHeight="15"/>
  <sheetData>
    <row r="1" spans="1:5">
      <c r="A1" s="328"/>
      <c r="B1" s="328"/>
      <c r="C1" s="328"/>
    </row>
    <row r="2" spans="1:5">
      <c r="A2" s="328"/>
      <c r="B2" s="328"/>
      <c r="C2" s="328"/>
    </row>
    <row r="3" spans="1:5">
      <c r="A3" s="328"/>
      <c r="B3" s="328"/>
      <c r="C3" s="328"/>
    </row>
    <row r="5" spans="1:5">
      <c r="A5" s="329" t="s">
        <v>155</v>
      </c>
      <c r="B5" s="329"/>
      <c r="C5" s="329"/>
      <c r="D5" s="329"/>
      <c r="E5" s="329"/>
    </row>
    <row r="6" spans="1:5">
      <c r="A6" s="329"/>
      <c r="B6" s="329"/>
      <c r="C6" s="329"/>
      <c r="D6" s="329"/>
      <c r="E6" s="329"/>
    </row>
    <row r="7" spans="1:5" ht="48" customHeight="1">
      <c r="A7" s="329"/>
      <c r="B7" s="329"/>
      <c r="C7" s="329"/>
      <c r="D7" s="329"/>
      <c r="E7" s="329"/>
    </row>
  </sheetData>
  <mergeCells count="4">
    <mergeCell ref="A1:C1"/>
    <mergeCell ref="A2:C2"/>
    <mergeCell ref="A3:C3"/>
    <mergeCell ref="A5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BCR</vt:lpstr>
      <vt:lpstr>biomarkers(pre-post)</vt:lpstr>
      <vt:lpstr>biomarker(6months)</vt:lpstr>
      <vt:lpstr>biometrics(1yr)</vt:lpstr>
      <vt:lpstr>RESULTS(Benefits)</vt:lpstr>
      <vt:lpstr>recalls</vt:lpstr>
      <vt:lpstr>FIGURES</vt:lpstr>
      <vt:lpstr>Washignton</vt:lpstr>
      <vt:lpstr>Data &amp; PV</vt:lpstr>
      <vt:lpstr>Colorectal Benefit</vt:lpstr>
      <vt:lpstr>Heart Disease Benefit</vt:lpstr>
      <vt:lpstr>Stroke Benefits</vt:lpstr>
      <vt:lpstr>Hypertension Benefit</vt:lpstr>
      <vt:lpstr>osteoporosis</vt:lpstr>
      <vt:lpstr>Type 2 Diabeties</vt:lpstr>
      <vt:lpstr>Obesity</vt:lpstr>
      <vt:lpstr>Foodborne illness</vt:lpstr>
      <vt:lpstr>LBW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PC</dc:creator>
  <cp:keywords/>
  <dc:description/>
  <cp:lastModifiedBy>richard acquah-sarpong</cp:lastModifiedBy>
  <cp:revision/>
  <dcterms:created xsi:type="dcterms:W3CDTF">2015-06-05T18:17:20Z</dcterms:created>
  <dcterms:modified xsi:type="dcterms:W3CDTF">2021-03-19T04:06:17Z</dcterms:modified>
  <cp:category/>
  <cp:contentStatus/>
</cp:coreProperties>
</file>