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31" documentId="11_62E8E894123FFB012F14E8B67C8AB7A0F50689F3" xr6:coauthVersionLast="46" xr6:coauthVersionMax="46" xr10:uidLastSave="{A9A7C74B-4B7C-44CE-83C3-9BECB978D99C}"/>
  <bookViews>
    <workbookView xWindow="-120" yWindow="-120" windowWidth="20730" windowHeight="11160" tabRatio="800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externalReferences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5" l="1"/>
  <c r="S31" i="15"/>
  <c r="R31" i="16"/>
  <c r="S31" i="16"/>
  <c r="R31" i="17"/>
  <c r="S31" i="17"/>
  <c r="R31" i="14"/>
  <c r="S31" i="14"/>
  <c r="R8" i="17"/>
  <c r="R8" i="16"/>
  <c r="R8" i="15"/>
  <c r="C5" i="9"/>
  <c r="N32" i="8"/>
  <c r="N29" i="8"/>
  <c r="N30" i="8"/>
  <c r="N31" i="8"/>
  <c r="R10" i="17"/>
  <c r="R7" i="17"/>
  <c r="R6" i="17"/>
  <c r="R10" i="16"/>
  <c r="R7" i="16"/>
  <c r="R6" i="16"/>
  <c r="R10" i="15"/>
  <c r="R7" i="15"/>
  <c r="R6" i="15"/>
  <c r="R9" i="15" s="1"/>
  <c r="R11" i="14"/>
  <c r="R9" i="14"/>
  <c r="E18" i="15"/>
  <c r="E18" i="16"/>
  <c r="E18" i="17"/>
  <c r="E2" i="18"/>
  <c r="E9" i="18"/>
  <c r="E10" i="18"/>
  <c r="D2" i="18"/>
  <c r="D9" i="18"/>
  <c r="C2" i="18"/>
  <c r="C9" i="18"/>
  <c r="C10" i="18"/>
  <c r="B2" i="18"/>
  <c r="B9" i="18"/>
  <c r="B10" i="18"/>
  <c r="R8" i="14"/>
  <c r="E18" i="14"/>
  <c r="R10" i="14"/>
  <c r="R7" i="14"/>
  <c r="R6" i="14"/>
  <c r="F17" i="10"/>
  <c r="R9" i="17" l="1"/>
  <c r="R11" i="17" s="1"/>
  <c r="R9" i="16"/>
  <c r="R11" i="16" s="1"/>
  <c r="R11" i="15"/>
  <c r="A11" i="18"/>
  <c r="A10" i="18"/>
  <c r="A9" i="18"/>
  <c r="A8" i="18"/>
  <c r="A7" i="18"/>
  <c r="A6" i="18"/>
  <c r="A5" i="18"/>
  <c r="A4" i="18"/>
  <c r="A3" i="18"/>
  <c r="A2" i="18"/>
  <c r="C1" i="18"/>
  <c r="J42" i="17" l="1"/>
  <c r="E17" i="17"/>
  <c r="S8" i="17" s="1"/>
  <c r="S9" i="17" s="1"/>
  <c r="E15" i="17"/>
  <c r="Q8" i="17" s="1"/>
  <c r="E14" i="17"/>
  <c r="P8" i="17" s="1"/>
  <c r="E13" i="17"/>
  <c r="E12" i="17"/>
  <c r="N8" i="17" s="1"/>
  <c r="O8" i="17"/>
  <c r="O9" i="17" s="1"/>
  <c r="E8" i="17"/>
  <c r="M8" i="17" s="1"/>
  <c r="E7" i="17"/>
  <c r="L8" i="17" s="1"/>
  <c r="E6" i="17"/>
  <c r="K8" i="17" s="1"/>
  <c r="E5" i="17"/>
  <c r="J8" i="17" s="1"/>
  <c r="J42" i="16"/>
  <c r="D10" i="18" s="1"/>
  <c r="E17" i="16"/>
  <c r="E15" i="16"/>
  <c r="Q8" i="16" s="1"/>
  <c r="Q9" i="16" s="1"/>
  <c r="E14" i="16"/>
  <c r="P8" i="16" s="1"/>
  <c r="E13" i="16"/>
  <c r="O8" i="16" s="1"/>
  <c r="E12" i="16"/>
  <c r="N8" i="16" s="1"/>
  <c r="S8" i="16"/>
  <c r="S9" i="16" s="1"/>
  <c r="E8" i="16"/>
  <c r="M8" i="16" s="1"/>
  <c r="E7" i="16"/>
  <c r="L8" i="16" s="1"/>
  <c r="E6" i="16"/>
  <c r="K8" i="16" s="1"/>
  <c r="E5" i="16"/>
  <c r="J8" i="16" s="1"/>
  <c r="J42" i="15"/>
  <c r="E17" i="15"/>
  <c r="S8" i="15" s="1"/>
  <c r="S9" i="15" s="1"/>
  <c r="E15" i="15"/>
  <c r="E14" i="15"/>
  <c r="P8" i="15" s="1"/>
  <c r="E13" i="15"/>
  <c r="O8" i="15" s="1"/>
  <c r="E12" i="15"/>
  <c r="N8" i="15" s="1"/>
  <c r="N9" i="15" s="1"/>
  <c r="Q8" i="15"/>
  <c r="Q9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N9" i="17" l="1"/>
  <c r="N23" i="17"/>
  <c r="O23" i="17"/>
  <c r="O24" i="17"/>
  <c r="J23" i="17"/>
  <c r="J9" i="17"/>
  <c r="K23" i="17"/>
  <c r="K9" i="17"/>
  <c r="L9" i="17"/>
  <c r="L23" i="17"/>
  <c r="N24" i="17"/>
  <c r="S24" i="17"/>
  <c r="S26" i="17" s="1"/>
  <c r="M23" i="17"/>
  <c r="M9" i="17"/>
  <c r="P9" i="17"/>
  <c r="P23" i="17"/>
  <c r="Q9" i="17"/>
  <c r="Q23" i="17"/>
  <c r="S23" i="17"/>
  <c r="Q24" i="16"/>
  <c r="N9" i="16"/>
  <c r="N23" i="16"/>
  <c r="P9" i="16"/>
  <c r="P23" i="16"/>
  <c r="J23" i="16"/>
  <c r="J9" i="16"/>
  <c r="S24" i="16"/>
  <c r="S26" i="16" s="1"/>
  <c r="K9" i="16"/>
  <c r="K23" i="16"/>
  <c r="M9" i="16"/>
  <c r="M23" i="16"/>
  <c r="O23" i="16"/>
  <c r="O9" i="16"/>
  <c r="L9" i="16"/>
  <c r="L23" i="16"/>
  <c r="Q23" i="16"/>
  <c r="S23" i="16"/>
  <c r="N24" i="15"/>
  <c r="J23" i="15"/>
  <c r="Q24" i="15"/>
  <c r="O9" i="15"/>
  <c r="O23" i="15"/>
  <c r="P9" i="15"/>
  <c r="P23" i="15"/>
  <c r="K23" i="15"/>
  <c r="M23" i="15"/>
  <c r="S24" i="15"/>
  <c r="S26" i="15" s="1"/>
  <c r="L23" i="15"/>
  <c r="N23" i="15"/>
  <c r="Q23" i="15"/>
  <c r="S23" i="15"/>
  <c r="P24" i="17" l="1"/>
  <c r="M24" i="17"/>
  <c r="J24" i="17"/>
  <c r="L24" i="17"/>
  <c r="Q24" i="17"/>
  <c r="K24" i="17"/>
  <c r="J24" i="16"/>
  <c r="K24" i="16"/>
  <c r="L24" i="16"/>
  <c r="P24" i="16"/>
  <c r="O24" i="16"/>
  <c r="N24" i="16"/>
  <c r="M24" i="16"/>
  <c r="J24" i="15"/>
  <c r="M24" i="15"/>
  <c r="K24" i="15"/>
  <c r="P24" i="15"/>
  <c r="O24" i="15"/>
  <c r="L24" i="15"/>
  <c r="C6" i="2" l="1"/>
  <c r="E17" i="14" l="1"/>
  <c r="E13" i="14"/>
  <c r="E14" i="14"/>
  <c r="E15" i="14"/>
  <c r="E12" i="14"/>
  <c r="N8" i="14" s="1"/>
  <c r="E6" i="14"/>
  <c r="E7" i="14"/>
  <c r="E8" i="14"/>
  <c r="E5" i="14"/>
  <c r="J42" i="14"/>
  <c r="L8" i="14" l="1"/>
  <c r="N23" i="14"/>
  <c r="N9" i="14"/>
  <c r="S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S23" i="14"/>
  <c r="S9" i="14"/>
  <c r="N24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S24" i="14" l="1"/>
  <c r="S26" i="14" s="1"/>
  <c r="Q24" i="14"/>
  <c r="P24" i="14"/>
  <c r="O24" i="14"/>
  <c r="M24" i="14"/>
  <c r="L24" i="14"/>
  <c r="K24" i="14"/>
  <c r="J24" i="14"/>
  <c r="V9" i="13"/>
  <c r="V24" i="13" s="1"/>
  <c r="S42" i="13" l="1"/>
  <c r="U42" i="13" s="1"/>
  <c r="R42" i="13"/>
  <c r="AC20" i="13" l="1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M17" i="1" l="1"/>
  <c r="G13" i="1"/>
  <c r="G12" i="1"/>
  <c r="G10" i="1"/>
  <c r="G9" i="1"/>
  <c r="G8" i="1"/>
  <c r="G7" i="1"/>
  <c r="G5" i="1"/>
  <c r="G4" i="1"/>
  <c r="G3" i="1"/>
  <c r="G2" i="1"/>
  <c r="K10" i="5" l="1"/>
  <c r="K14" i="5"/>
  <c r="K18" i="5"/>
  <c r="K22" i="5"/>
  <c r="K26" i="5"/>
  <c r="C11" i="5"/>
  <c r="C15" i="5"/>
  <c r="C19" i="5"/>
  <c r="C23" i="5"/>
  <c r="C7" i="5"/>
  <c r="K8" i="5"/>
  <c r="K12" i="5"/>
  <c r="K16" i="5"/>
  <c r="K20" i="5"/>
  <c r="K24" i="5"/>
  <c r="C9" i="5"/>
  <c r="C13" i="5"/>
  <c r="C17" i="5"/>
  <c r="C21" i="5"/>
  <c r="C25" i="5"/>
  <c r="K15" i="5"/>
  <c r="K23" i="5"/>
  <c r="C12" i="5"/>
  <c r="C20" i="5"/>
  <c r="K7" i="5"/>
  <c r="C8" i="5"/>
  <c r="K21" i="5"/>
  <c r="C26" i="5"/>
  <c r="K9" i="5"/>
  <c r="K17" i="5"/>
  <c r="K25" i="5"/>
  <c r="C14" i="5"/>
  <c r="C22" i="5"/>
  <c r="C16" i="5"/>
  <c r="K13" i="5"/>
  <c r="C18" i="5"/>
  <c r="K11" i="5"/>
  <c r="K19" i="5"/>
  <c r="C24" i="5"/>
  <c r="C10" i="5"/>
  <c r="K10" i="2"/>
  <c r="C10" i="2"/>
  <c r="C8" i="2"/>
  <c r="C7" i="2"/>
  <c r="K11" i="2"/>
  <c r="C11" i="2"/>
  <c r="K8" i="2"/>
  <c r="K7" i="2"/>
  <c r="K9" i="2"/>
  <c r="C9" i="2"/>
  <c r="Z10" i="13"/>
  <c r="AK10" i="13" s="1"/>
  <c r="S10" i="17"/>
  <c r="S11" i="17" s="1"/>
  <c r="S10" i="15"/>
  <c r="S11" i="15" s="1"/>
  <c r="S10" i="16"/>
  <c r="S11" i="16" s="1"/>
  <c r="S10" i="14"/>
  <c r="S11" i="14" s="1"/>
  <c r="K9" i="4"/>
  <c r="K13" i="4"/>
  <c r="C8" i="4"/>
  <c r="C12" i="4"/>
  <c r="C16" i="4"/>
  <c r="K11" i="4"/>
  <c r="K15" i="4"/>
  <c r="C10" i="4"/>
  <c r="C14" i="4"/>
  <c r="K14" i="4"/>
  <c r="C13" i="4"/>
  <c r="C7" i="4"/>
  <c r="K8" i="4"/>
  <c r="K16" i="4"/>
  <c r="C15" i="4"/>
  <c r="C9" i="4"/>
  <c r="K12" i="4"/>
  <c r="K7" i="4"/>
  <c r="K10" i="4"/>
  <c r="C11" i="4"/>
  <c r="C7" i="9"/>
  <c r="C11" i="9"/>
  <c r="C15" i="9"/>
  <c r="C19" i="9"/>
  <c r="C23" i="9"/>
  <c r="C27" i="9"/>
  <c r="C31" i="9"/>
  <c r="C35" i="9"/>
  <c r="C39" i="9"/>
  <c r="C43" i="9"/>
  <c r="C9" i="9"/>
  <c r="C13" i="9"/>
  <c r="C17" i="9"/>
  <c r="C21" i="9"/>
  <c r="C25" i="9"/>
  <c r="C29" i="9"/>
  <c r="C33" i="9"/>
  <c r="C37" i="9"/>
  <c r="C41" i="9"/>
  <c r="C45" i="9"/>
  <c r="C8" i="9"/>
  <c r="C16" i="9"/>
  <c r="C24" i="9"/>
  <c r="C32" i="9"/>
  <c r="C40" i="9"/>
  <c r="C22" i="9"/>
  <c r="C38" i="9"/>
  <c r="C10" i="9"/>
  <c r="C18" i="9"/>
  <c r="C26" i="9"/>
  <c r="C34" i="9"/>
  <c r="C42" i="9"/>
  <c r="C14" i="9"/>
  <c r="C30" i="9"/>
  <c r="C46" i="9"/>
  <c r="C12" i="9"/>
  <c r="C20" i="9"/>
  <c r="C28" i="9"/>
  <c r="C36" i="9"/>
  <c r="C44" i="9"/>
  <c r="C6" i="9"/>
  <c r="C7" i="6"/>
  <c r="C11" i="6"/>
  <c r="C15" i="6"/>
  <c r="C19" i="6"/>
  <c r="C23" i="6"/>
  <c r="C27" i="6"/>
  <c r="C31" i="6"/>
  <c r="C9" i="6"/>
  <c r="C13" i="6"/>
  <c r="C17" i="6"/>
  <c r="C21" i="6"/>
  <c r="C25" i="6"/>
  <c r="C29" i="6"/>
  <c r="C33" i="6"/>
  <c r="C8" i="6"/>
  <c r="C16" i="6"/>
  <c r="C24" i="6"/>
  <c r="C32" i="6"/>
  <c r="C22" i="6"/>
  <c r="C10" i="6"/>
  <c r="C18" i="6"/>
  <c r="C26" i="6"/>
  <c r="C34" i="6"/>
  <c r="C6" i="6"/>
  <c r="C14" i="6"/>
  <c r="C30" i="6"/>
  <c r="C12" i="6"/>
  <c r="C20" i="6"/>
  <c r="C28" i="6"/>
  <c r="K11" i="3"/>
  <c r="C11" i="3"/>
  <c r="K9" i="3"/>
  <c r="C9" i="3"/>
  <c r="C8" i="3"/>
  <c r="C7" i="3"/>
  <c r="C10" i="3"/>
  <c r="K8" i="3"/>
  <c r="K10" i="3"/>
  <c r="K7" i="3"/>
  <c r="C10" i="7"/>
  <c r="C14" i="7"/>
  <c r="C18" i="7"/>
  <c r="C22" i="7"/>
  <c r="C26" i="7"/>
  <c r="C30" i="7"/>
  <c r="C8" i="7"/>
  <c r="C12" i="7"/>
  <c r="C16" i="7"/>
  <c r="C20" i="7"/>
  <c r="C24" i="7"/>
  <c r="C28" i="7"/>
  <c r="C7" i="7"/>
  <c r="C15" i="7"/>
  <c r="C23" i="7"/>
  <c r="C13" i="7"/>
  <c r="C9" i="7"/>
  <c r="C17" i="7"/>
  <c r="C25" i="7"/>
  <c r="C29" i="7"/>
  <c r="C6" i="7"/>
  <c r="C11" i="7"/>
  <c r="C19" i="7"/>
  <c r="C27" i="7"/>
  <c r="C21" i="7"/>
  <c r="C7" i="8"/>
  <c r="C11" i="8"/>
  <c r="C15" i="8"/>
  <c r="C19" i="8"/>
  <c r="C23" i="8"/>
  <c r="C27" i="8"/>
  <c r="C31" i="8"/>
  <c r="C35" i="8"/>
  <c r="C39" i="8"/>
  <c r="C43" i="8"/>
  <c r="C9" i="8"/>
  <c r="C13" i="8"/>
  <c r="C17" i="8"/>
  <c r="C21" i="8"/>
  <c r="C25" i="8"/>
  <c r="C29" i="8"/>
  <c r="C33" i="8"/>
  <c r="C37" i="8"/>
  <c r="C41" i="8"/>
  <c r="C8" i="8"/>
  <c r="C16" i="8"/>
  <c r="C24" i="8"/>
  <c r="C32" i="8"/>
  <c r="C40" i="8"/>
  <c r="C14" i="8"/>
  <c r="C38" i="8"/>
  <c r="C10" i="8"/>
  <c r="C18" i="8"/>
  <c r="C26" i="8"/>
  <c r="C34" i="8"/>
  <c r="C42" i="8"/>
  <c r="C6" i="8"/>
  <c r="C30" i="8"/>
  <c r="C12" i="8"/>
  <c r="C20" i="8"/>
  <c r="C28" i="8"/>
  <c r="C36" i="8"/>
  <c r="C44" i="8"/>
  <c r="C22" i="8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J7" i="1"/>
  <c r="J8" i="1"/>
  <c r="J9" i="1"/>
  <c r="J10" i="1"/>
  <c r="X6" i="4"/>
  <c r="J5" i="1"/>
  <c r="J4" i="1"/>
  <c r="J3" i="1"/>
  <c r="J2" i="1"/>
  <c r="Q9" i="7" l="1"/>
  <c r="Q13" i="7"/>
  <c r="Q17" i="7"/>
  <c r="Q7" i="7"/>
  <c r="Q11" i="7"/>
  <c r="Q15" i="7"/>
  <c r="Q10" i="7"/>
  <c r="Q6" i="7"/>
  <c r="Q12" i="7"/>
  <c r="Q16" i="7"/>
  <c r="Q14" i="7"/>
  <c r="Q8" i="7"/>
  <c r="W8" i="2"/>
  <c r="W10" i="2"/>
  <c r="O10" i="2"/>
  <c r="W7" i="2"/>
  <c r="O9" i="2"/>
  <c r="W11" i="2"/>
  <c r="O11" i="2"/>
  <c r="O7" i="2"/>
  <c r="O8" i="2"/>
  <c r="W9" i="2"/>
  <c r="M10" i="6"/>
  <c r="M14" i="6"/>
  <c r="M18" i="6"/>
  <c r="M8" i="6"/>
  <c r="M12" i="6"/>
  <c r="M16" i="6"/>
  <c r="M20" i="6"/>
  <c r="M7" i="6"/>
  <c r="M15" i="6"/>
  <c r="M6" i="6"/>
  <c r="M13" i="6"/>
  <c r="M9" i="6"/>
  <c r="M17" i="6"/>
  <c r="M11" i="6"/>
  <c r="M19" i="6"/>
  <c r="M21" i="6"/>
  <c r="W11" i="3"/>
  <c r="O11" i="3"/>
  <c r="W9" i="3"/>
  <c r="O9" i="3"/>
  <c r="O8" i="3"/>
  <c r="W8" i="3"/>
  <c r="O7" i="3"/>
  <c r="W10" i="3"/>
  <c r="O10" i="3"/>
  <c r="W7" i="3"/>
  <c r="M7" i="9"/>
  <c r="M11" i="9"/>
  <c r="M15" i="9"/>
  <c r="M19" i="9"/>
  <c r="M23" i="9"/>
  <c r="M27" i="9"/>
  <c r="M31" i="9"/>
  <c r="M8" i="9"/>
  <c r="M9" i="9"/>
  <c r="M13" i="9"/>
  <c r="M17" i="9"/>
  <c r="M21" i="9"/>
  <c r="M25" i="9"/>
  <c r="M29" i="9"/>
  <c r="M33" i="9"/>
  <c r="M10" i="9"/>
  <c r="M12" i="9"/>
  <c r="M20" i="9"/>
  <c r="M28" i="9"/>
  <c r="M18" i="9"/>
  <c r="M14" i="9"/>
  <c r="M22" i="9"/>
  <c r="M30" i="9"/>
  <c r="M6" i="9"/>
  <c r="M26" i="9"/>
  <c r="M16" i="9"/>
  <c r="M24" i="9"/>
  <c r="M32" i="9"/>
  <c r="X8" i="5"/>
  <c r="X12" i="5"/>
  <c r="X16" i="5"/>
  <c r="X20" i="5"/>
  <c r="X24" i="5"/>
  <c r="Q9" i="5"/>
  <c r="Q13" i="5"/>
  <c r="Q17" i="5"/>
  <c r="Q21" i="5"/>
  <c r="Q25" i="5"/>
  <c r="X10" i="5"/>
  <c r="X14" i="5"/>
  <c r="X18" i="5"/>
  <c r="X22" i="5"/>
  <c r="X26" i="5"/>
  <c r="Q11" i="5"/>
  <c r="Q15" i="5"/>
  <c r="Q19" i="5"/>
  <c r="Q23" i="5"/>
  <c r="X13" i="5"/>
  <c r="X21" i="5"/>
  <c r="Q10" i="5"/>
  <c r="Q18" i="5"/>
  <c r="Q26" i="5"/>
  <c r="X19" i="5"/>
  <c r="Q16" i="5"/>
  <c r="Q7" i="5"/>
  <c r="X15" i="5"/>
  <c r="X23" i="5"/>
  <c r="Q12" i="5"/>
  <c r="Q20" i="5"/>
  <c r="X7" i="5"/>
  <c r="Q8" i="5"/>
  <c r="X9" i="5"/>
  <c r="X17" i="5"/>
  <c r="X25" i="5"/>
  <c r="Q14" i="5"/>
  <c r="Q22" i="5"/>
  <c r="X11" i="5"/>
  <c r="Q24" i="5"/>
  <c r="X11" i="4"/>
  <c r="X15" i="4"/>
  <c r="P10" i="4"/>
  <c r="P14" i="4"/>
  <c r="X9" i="4"/>
  <c r="X13" i="4"/>
  <c r="P8" i="4"/>
  <c r="P12" i="4"/>
  <c r="P16" i="4"/>
  <c r="X8" i="4"/>
  <c r="X16" i="4"/>
  <c r="P15" i="4"/>
  <c r="P11" i="4"/>
  <c r="P13" i="4"/>
  <c r="X10" i="4"/>
  <c r="P9" i="4"/>
  <c r="X7" i="4"/>
  <c r="X12" i="4"/>
  <c r="P7" i="4"/>
  <c r="X14" i="4"/>
  <c r="N7" i="8"/>
  <c r="N11" i="8"/>
  <c r="N15" i="8"/>
  <c r="N19" i="8"/>
  <c r="N23" i="8"/>
  <c r="N27" i="8"/>
  <c r="N9" i="8"/>
  <c r="N13" i="8"/>
  <c r="N17" i="8"/>
  <c r="N21" i="8"/>
  <c r="N25" i="8"/>
  <c r="N8" i="8"/>
  <c r="N16" i="8"/>
  <c r="N24" i="8"/>
  <c r="N6" i="8"/>
  <c r="N14" i="8"/>
  <c r="N10" i="8"/>
  <c r="N18" i="8"/>
  <c r="N26" i="8"/>
  <c r="N12" i="8"/>
  <c r="N20" i="8"/>
  <c r="N28" i="8"/>
  <c r="N22" i="8"/>
  <c r="F16" i="10"/>
  <c r="M5" i="9"/>
  <c r="N5" i="8"/>
  <c r="M5" i="6"/>
  <c r="Q5" i="7"/>
  <c r="X6" i="5"/>
  <c r="Q6" i="5"/>
  <c r="P6" i="4" l="1"/>
  <c r="O6" i="3"/>
  <c r="W6" i="3"/>
  <c r="O12" i="3" l="1"/>
  <c r="W12" i="2"/>
  <c r="C5" i="7"/>
  <c r="M22" i="6" l="1"/>
  <c r="G11" i="10" s="1"/>
  <c r="K7" i="1" s="1"/>
  <c r="W12" i="3"/>
  <c r="S16" i="3" s="1"/>
  <c r="P17" i="4"/>
  <c r="X17" i="4"/>
  <c r="M34" i="9"/>
  <c r="Q18" i="7"/>
  <c r="X27" i="5"/>
  <c r="Q27" i="5"/>
  <c r="O12" i="2"/>
  <c r="R15" i="2" s="1"/>
  <c r="C5" i="8"/>
  <c r="K6" i="5"/>
  <c r="K6" i="4"/>
  <c r="K6" i="3"/>
  <c r="K6" i="2"/>
  <c r="C6" i="5"/>
  <c r="C5" i="6"/>
  <c r="P25" i="14" l="1"/>
  <c r="P26" i="14" s="1"/>
  <c r="P25" i="17"/>
  <c r="P26" i="17" s="1"/>
  <c r="P25" i="16"/>
  <c r="P26" i="16" s="1"/>
  <c r="P25" i="15"/>
  <c r="P26" i="15" s="1"/>
  <c r="O25" i="14"/>
  <c r="O26" i="14" s="1"/>
  <c r="O25" i="16"/>
  <c r="O26" i="16" s="1"/>
  <c r="O25" i="17"/>
  <c r="O26" i="17" s="1"/>
  <c r="O25" i="15"/>
  <c r="O26" i="15" s="1"/>
  <c r="N25" i="14"/>
  <c r="N26" i="14" s="1"/>
  <c r="N25" i="16"/>
  <c r="N26" i="16" s="1"/>
  <c r="N25" i="17"/>
  <c r="N26" i="17" s="1"/>
  <c r="N25" i="15"/>
  <c r="N26" i="15" s="1"/>
  <c r="K25" i="14"/>
  <c r="K26" i="14" s="1"/>
  <c r="K25" i="16"/>
  <c r="K26" i="16" s="1"/>
  <c r="K25" i="15"/>
  <c r="K26" i="15" s="1"/>
  <c r="K25" i="17"/>
  <c r="K26" i="17" s="1"/>
  <c r="J25" i="14"/>
  <c r="J26" i="14" s="1"/>
  <c r="J25" i="17"/>
  <c r="J26" i="17" s="1"/>
  <c r="J25" i="15"/>
  <c r="J26" i="15" s="1"/>
  <c r="J25" i="16"/>
  <c r="J26" i="16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I14" i="12"/>
  <c r="G13" i="10"/>
  <c r="K9" i="1" s="1"/>
  <c r="I13" i="12"/>
  <c r="G12" i="10"/>
  <c r="K8" i="1" s="1"/>
  <c r="I12" i="12"/>
  <c r="C35" i="6"/>
  <c r="C45" i="8"/>
  <c r="U18" i="4"/>
  <c r="S29" i="5"/>
  <c r="K12" i="3"/>
  <c r="K27" i="5"/>
  <c r="K12" i="2"/>
  <c r="C47" i="9"/>
  <c r="Y10" i="13" s="1"/>
  <c r="K17" i="4"/>
  <c r="C31" i="7"/>
  <c r="C27" i="5"/>
  <c r="C6" i="4"/>
  <c r="C17" i="4" s="1"/>
  <c r="C6" i="3"/>
  <c r="Q25" i="17" l="1"/>
  <c r="Q26" i="17" s="1"/>
  <c r="Q25" i="16"/>
  <c r="Q26" i="16" s="1"/>
  <c r="Q25" i="15"/>
  <c r="Q26" i="15" s="1"/>
  <c r="P10" i="14"/>
  <c r="P11" i="14" s="1"/>
  <c r="P31" i="14" s="1"/>
  <c r="P10" i="15"/>
  <c r="P11" i="15" s="1"/>
  <c r="P31" i="15" s="1"/>
  <c r="P10" i="17"/>
  <c r="P11" i="17" s="1"/>
  <c r="P31" i="17" s="1"/>
  <c r="P10" i="16"/>
  <c r="P11" i="16" s="1"/>
  <c r="P31" i="16" s="1"/>
  <c r="F13" i="10"/>
  <c r="O10" i="17"/>
  <c r="O11" i="17" s="1"/>
  <c r="O31" i="17" s="1"/>
  <c r="O10" i="15"/>
  <c r="O11" i="15" s="1"/>
  <c r="O31" i="15" s="1"/>
  <c r="O10" i="16"/>
  <c r="O11" i="16" s="1"/>
  <c r="O31" i="16" s="1"/>
  <c r="N10" i="14"/>
  <c r="N11" i="14" s="1"/>
  <c r="N31" i="14" s="1"/>
  <c r="N10" i="17"/>
  <c r="N11" i="17" s="1"/>
  <c r="N31" i="17" s="1"/>
  <c r="N10" i="16"/>
  <c r="N11" i="16" s="1"/>
  <c r="N31" i="16" s="1"/>
  <c r="N10" i="15"/>
  <c r="N11" i="15" s="1"/>
  <c r="N31" i="15" s="1"/>
  <c r="M25" i="14"/>
  <c r="M26" i="14" s="1"/>
  <c r="M25" i="15"/>
  <c r="M26" i="15" s="1"/>
  <c r="M25" i="16"/>
  <c r="M26" i="16" s="1"/>
  <c r="M25" i="17"/>
  <c r="M26" i="17" s="1"/>
  <c r="L25" i="14"/>
  <c r="L26" i="14" s="1"/>
  <c r="L25" i="15"/>
  <c r="L26" i="15" s="1"/>
  <c r="J28" i="15" s="1"/>
  <c r="J37" i="15" s="1"/>
  <c r="L25" i="17"/>
  <c r="L26" i="17" s="1"/>
  <c r="L25" i="16"/>
  <c r="L26" i="16" s="1"/>
  <c r="K10" i="1"/>
  <c r="Q25" i="14"/>
  <c r="Q26" i="14" s="1"/>
  <c r="W10" i="13"/>
  <c r="AH10" i="13" s="1"/>
  <c r="AH11" i="13" s="1"/>
  <c r="O10" i="14"/>
  <c r="O11" i="14" s="1"/>
  <c r="O31" i="14" s="1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C12" i="2"/>
  <c r="J38" i="15" l="1"/>
  <c r="E6" i="18" s="1"/>
  <c r="E5" i="18"/>
  <c r="J28" i="17"/>
  <c r="J37" i="17" s="1"/>
  <c r="W11" i="13"/>
  <c r="J28" i="16"/>
  <c r="J37" i="16" s="1"/>
  <c r="R28" i="13"/>
  <c r="R37" i="13" s="1"/>
  <c r="R38" i="13" s="1"/>
  <c r="J28" i="14"/>
  <c r="J37" i="14" s="1"/>
  <c r="Q10" i="14"/>
  <c r="Q11" i="14" s="1"/>
  <c r="Q31" i="14" s="1"/>
  <c r="Q10" i="16"/>
  <c r="Q11" i="16" s="1"/>
  <c r="Q31" i="16" s="1"/>
  <c r="Q10" i="15"/>
  <c r="Q11" i="15" s="1"/>
  <c r="Q31" i="15" s="1"/>
  <c r="Q10" i="17"/>
  <c r="Q11" i="17" s="1"/>
  <c r="Q31" i="17" s="1"/>
  <c r="M10" i="16"/>
  <c r="M11" i="16" s="1"/>
  <c r="M31" i="16" s="1"/>
  <c r="M10" i="15"/>
  <c r="M11" i="15" s="1"/>
  <c r="M31" i="15" s="1"/>
  <c r="M10" i="17"/>
  <c r="M11" i="17" s="1"/>
  <c r="M31" i="17" s="1"/>
  <c r="L10" i="16"/>
  <c r="L11" i="16" s="1"/>
  <c r="L31" i="16" s="1"/>
  <c r="L10" i="17"/>
  <c r="L11" i="17" s="1"/>
  <c r="L31" i="17" s="1"/>
  <c r="L10" i="15"/>
  <c r="L11" i="15" s="1"/>
  <c r="L31" i="15" s="1"/>
  <c r="K10" i="17"/>
  <c r="K11" i="17" s="1"/>
  <c r="K31" i="17" s="1"/>
  <c r="K10" i="15"/>
  <c r="K11" i="15" s="1"/>
  <c r="K31" i="15" s="1"/>
  <c r="K10" i="16"/>
  <c r="K11" i="16" s="1"/>
  <c r="K31" i="16" s="1"/>
  <c r="AC28" i="13"/>
  <c r="S37" i="13" s="1"/>
  <c r="S38" i="13" s="1"/>
  <c r="U10" i="13"/>
  <c r="AF10" i="13" s="1"/>
  <c r="AF11" i="13" s="1"/>
  <c r="M10" i="14"/>
  <c r="M11" i="14" s="1"/>
  <c r="M31" i="14" s="1"/>
  <c r="T10" i="13"/>
  <c r="T11" i="13" s="1"/>
  <c r="L10" i="14"/>
  <c r="L11" i="14" s="1"/>
  <c r="L31" i="14" s="1"/>
  <c r="S10" i="13"/>
  <c r="AD10" i="13" s="1"/>
  <c r="AD11" i="13" s="1"/>
  <c r="K10" i="14"/>
  <c r="K11" i="14" s="1"/>
  <c r="K31" i="14" s="1"/>
  <c r="U11" i="13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J38" i="14" l="1"/>
  <c r="B6" i="18" s="1"/>
  <c r="B5" i="18"/>
  <c r="J38" i="17"/>
  <c r="C6" i="18" s="1"/>
  <c r="C5" i="18"/>
  <c r="J38" i="16"/>
  <c r="D6" i="18" s="1"/>
  <c r="D5" i="18"/>
  <c r="S11" i="13"/>
  <c r="AE10" i="13"/>
  <c r="AE11" i="13" s="1"/>
  <c r="J10" i="15"/>
  <c r="J11" i="15" s="1"/>
  <c r="J10" i="16"/>
  <c r="J11" i="16" s="1"/>
  <c r="J10" i="17"/>
  <c r="J11" i="17" s="1"/>
  <c r="R10" i="13"/>
  <c r="AC10" i="13" s="1"/>
  <c r="AC11" i="13" s="1"/>
  <c r="AC13" i="13" s="1"/>
  <c r="S35" i="13" s="1"/>
  <c r="J10" i="14"/>
  <c r="J11" i="14" s="1"/>
  <c r="F4" i="10"/>
  <c r="H4" i="12"/>
  <c r="R11" i="13" l="1"/>
  <c r="R13" i="13" s="1"/>
  <c r="R35" i="13" s="1"/>
  <c r="R36" i="13" s="1"/>
  <c r="J31" i="16"/>
  <c r="J13" i="16"/>
  <c r="J35" i="16" s="1"/>
  <c r="D3" i="18" s="1"/>
  <c r="J13" i="17"/>
  <c r="J35" i="17" s="1"/>
  <c r="C3" i="18" s="1"/>
  <c r="J31" i="17"/>
  <c r="J31" i="15"/>
  <c r="J13" i="15"/>
  <c r="J35" i="15" s="1"/>
  <c r="E3" i="18" s="1"/>
  <c r="J31" i="14"/>
  <c r="J13" i="14"/>
  <c r="J35" i="14" s="1"/>
  <c r="B3" i="18" s="1"/>
  <c r="R39" i="13"/>
  <c r="R40" i="13" s="1"/>
  <c r="R43" i="13" s="1"/>
  <c r="S39" i="13"/>
  <c r="S40" i="13" s="1"/>
  <c r="S36" i="13"/>
  <c r="J39" i="16" l="1"/>
  <c r="J36" i="16"/>
  <c r="D4" i="18" s="1"/>
  <c r="J36" i="15"/>
  <c r="E4" i="18" s="1"/>
  <c r="J39" i="15"/>
  <c r="J36" i="17"/>
  <c r="C4" i="18" s="1"/>
  <c r="J39" i="17"/>
  <c r="J36" i="14"/>
  <c r="B4" i="18" s="1"/>
  <c r="J39" i="14"/>
  <c r="S43" i="13"/>
  <c r="U40" i="13"/>
  <c r="U43" i="13" s="1"/>
  <c r="J40" i="14" l="1"/>
  <c r="B7" i="18"/>
  <c r="J40" i="15"/>
  <c r="E7" i="18"/>
  <c r="J40" i="17"/>
  <c r="C7" i="18"/>
  <c r="J40" i="16"/>
  <c r="D7" i="18"/>
  <c r="J43" i="14" l="1"/>
  <c r="B11" i="18" s="1"/>
  <c r="B8" i="18"/>
  <c r="J43" i="15"/>
  <c r="E11" i="18" s="1"/>
  <c r="E8" i="18"/>
  <c r="J43" i="17"/>
  <c r="C11" i="18" s="1"/>
  <c r="C8" i="18"/>
  <c r="J43" i="16"/>
  <c r="D11" i="18" s="1"/>
  <c r="D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<sst xmlns="http://schemas.openxmlformats.org/spreadsheetml/2006/main" count="659" uniqueCount="161">
  <si>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</si>
  <si>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</si>
  <si>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</si>
  <si>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</si>
  <si>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</si>
  <si>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</si>
  <si>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</si>
  <si>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</si>
  <si>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</si>
  <si>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</si>
  <si>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</si>
  <si>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</si>
  <si>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</si>
  <si>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</si>
  <si>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</si>
  <si>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</si>
  <si>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</si>
  <si>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</si>
  <si>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</si>
  <si>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</si>
  <si>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</si>
  <si>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</si>
  <si>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</si>
  <si>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</si>
  <si>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</si>
  <si>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</si>
  <si>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</si>
  <si>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</si>
  <si>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</si>
  <si>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</si>
  <si>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</si>
  <si>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</si>
  <si>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</si>
  <si>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</si>
  <si>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</si>
  <si>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</si>
  <si>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</si>
  <si>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</si>
  <si>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</si>
  <si>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</si>
  <si>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</si>
  <si>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</si>
  <si>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</si>
  <si>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</si>
  <si>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</si>
  <si>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</si>
  <si>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</si>
  <si>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</si>
  <si>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</si>
  <si>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</si>
  <si>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</si>
  <si>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</si>
  <si>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</si>
  <si>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</si>
  <si>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</si>
  <si>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</si>
  <si>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</si>
  <si>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</si>
  <si>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</si>
  <si>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</si>
  <si>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</si>
  <si>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</si>
  <si>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</si>
  <si>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</si>
  <si>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</si>
  <si>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</si>
  <si>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</si>
  <si>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</si>
  <si>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</si>
  <si>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</si>
  <si>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</si>
  <si>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</si>
  <si>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</si>
  <si>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</si>
  <si>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</si>
  <si>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</si>
  <si>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</si>
  <si>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</si>
  <si>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</si>
  <si>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</si>
  <si>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</si>
  <si>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</si>
  <si>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</si>
  <si>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</si>
  <si>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</si>
  <si>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</si>
  <si>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</si>
  <si>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</si>
  <si>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</si>
  <si>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</si>
  <si>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</si>
  <si>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</si>
  <si>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</si>
  <si>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</si>
  <si>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</si>
  <si>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</si>
  <si>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</si>
  <si>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</si>
  <si>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</si>
  <si>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</si>
  <si>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</si>
  <si>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</si>
  <si>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</si>
  <si>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</si>
  <si>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</si>
  <si>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</si>
  <si>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</si>
  <si>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</si>
  <si>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</si>
  <si>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</si>
  <si>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</si>
  <si>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</si>
  <si>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</si>
  <si>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</si>
  <si>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</si>
  <si>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</si>
  <si>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</si>
  <si>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</si>
  <si>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</si>
  <si>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</si>
  <si>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</si>
  <si>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</si>
  <si>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</si>
  <si>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</si>
  <si>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</si>
  <si>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</si>
  <si>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</si>
  <si>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</si>
  <si>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</si>
  <si>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</si>
  <si>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</si>
  <si>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</si>
  <si>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</si>
  <si>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</si>
  <si>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</si>
  <si>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</si>
  <si>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</si>
  <si>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</si>
  <si>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</si>
  <si>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</si>
  <si>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</si>
  <si>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</si>
  <si>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</si>
  <si>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</si>
  <si>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</si>
  <si>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</si>
  <si>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</si>
  <si>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</si>
  <si>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</si>
  <si>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</si>
  <si>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</si>
  <si>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</si>
  <si>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</si>
  <si>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</si>
  <si>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</si>
  <si>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</si>
  <si>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</si>
  <si>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</si>
  <si>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</si>
  <si>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pre-6months</t>
  </si>
  <si>
    <t>pre-1year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</si>
</sst>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 applyFill="1"/>
    <xf numFmtId="0" fontId="0" fillId="0" borderId="0" xfId="0" applyFont="1" applyFill="1" applyBorder="1" applyAlignment="1">
      <alignment horizont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29" xfId="0" applyNumberFormat="1" applyFont="1" applyFill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44" fontId="0" fillId="0" borderId="29" xfId="1" applyFont="1" applyBorder="1"/>
    <xf numFmtId="10" fontId="0" fillId="0" borderId="29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V%20direct%20benefits%20-%20b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V%20direct%20benefits%20-%2010%5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R"/>
      <sheetName val="pre-post"/>
      <sheetName val="Pre-6mo"/>
      <sheetName val="Pre-1yr"/>
      <sheetName val="FIGURES"/>
      <sheetName val="Washignton"/>
      <sheetName val="Data &amp; PV"/>
      <sheetName val="Colorectal Benefit"/>
      <sheetName val="Heart Disease Benefit"/>
      <sheetName val="Stroke Benefits"/>
      <sheetName val="Hypertension Benefit"/>
      <sheetName val="osteoporosis"/>
      <sheetName val="Type 2 Diabeties"/>
      <sheetName val="Obesity"/>
      <sheetName val="Foodborne illness"/>
      <sheetName val="LBW"/>
    </sheetNames>
    <sheetDataSet>
      <sheetData sheetId="0"/>
      <sheetData sheetId="1">
        <row r="53">
          <cell r="M53" t="str">
            <v>pre-post</v>
          </cell>
        </row>
        <row r="54">
          <cell r="L54" t="str">
            <v>Annual number of graduates</v>
          </cell>
        </row>
        <row r="55">
          <cell r="L55" t="str">
            <v>sum of direct benefits</v>
          </cell>
        </row>
        <row r="56">
          <cell r="L56" t="str">
            <v>Direct benefit per graduate</v>
          </cell>
        </row>
        <row r="57">
          <cell r="L57" t="str">
            <v>sum of indirect benefits</v>
          </cell>
        </row>
        <row r="58">
          <cell r="L58" t="str">
            <v>indirect benefits per graduate</v>
          </cell>
        </row>
        <row r="59">
          <cell r="L59" t="str">
            <v>total benefits</v>
          </cell>
        </row>
        <row r="60">
          <cell r="L60" t="str">
            <v>total benefits per graduate</v>
          </cell>
        </row>
        <row r="61">
          <cell r="L61" t="str">
            <v>costs</v>
          </cell>
        </row>
        <row r="62">
          <cell r="L62" t="str">
            <v>costs per graduate</v>
          </cell>
        </row>
        <row r="63">
          <cell r="L63" t="str">
            <v>benefit cost ratio</v>
          </cell>
        </row>
      </sheetData>
      <sheetData sheetId="2">
        <row r="34">
          <cell r="M34">
            <v>1507</v>
          </cell>
        </row>
      </sheetData>
      <sheetData sheetId="3">
        <row r="34">
          <cell r="M34">
            <v>1507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R"/>
      <sheetName val="biomarkers(pre-post)"/>
      <sheetName val="biomarker(6months)"/>
      <sheetName val="biometrics(1yr)"/>
      <sheetName val="RESULTS(Benefits)"/>
      <sheetName val="recalls"/>
      <sheetName val="FIGURES"/>
      <sheetName val="Washignton"/>
      <sheetName val="Data &amp; PV"/>
      <sheetName val="Colorectal Benefit"/>
      <sheetName val="Heart Disease Benefit"/>
      <sheetName val="Stroke Benefits"/>
      <sheetName val="Hypertension Benefit"/>
      <sheetName val="osteoporosis"/>
      <sheetName val="Type 2 Diabeties"/>
      <sheetName val="Obesity"/>
      <sheetName val="Foodborne illness"/>
      <sheetName val="LB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3">
          <cell r="H13">
            <v>21799.185582999999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6" sqref="K16"/>
    </sheetView>
  </sheetViews>
  <sheetFormatPr defaultRowHeight="15"/>
  <cols>
    <col min="1" max="1" width="28" bestFit="1" customWidth="1"/>
    <col min="2" max="2" width="14.42578125" bestFit="1" customWidth="1"/>
    <col min="3" max="5" width="15.28515625" bestFit="1" customWidth="1"/>
  </cols>
  <sheetData>
    <row r="1" spans="1:5">
      <c r="B1" t="s">
        <v>158</v>
      </c>
      <c r="C1" t="str">
        <f>'[1]pre-post'!M53</f>
        <v>pre-post</v>
      </c>
      <c r="D1" t="s">
        <v>159</v>
      </c>
      <c r="E1" t="s">
        <v>160</v>
      </c>
    </row>
    <row r="2" spans="1:5">
      <c r="A2" t="str">
        <f>'[1]pre-post'!L54</f>
        <v>Annual number of graduates</v>
      </c>
      <c r="B2" s="79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</row>
    <row r="3" spans="1:5">
      <c r="A3" t="str">
        <f>'[1]pre-post'!L55</f>
        <v>sum of direct benefits</v>
      </c>
      <c r="B3" s="207">
        <f>recalls!J35</f>
        <v>3422692.112095966</v>
      </c>
      <c r="C3" s="89">
        <f>'biomarkers(pre-post)'!J35</f>
        <v>12623128.110363578</v>
      </c>
      <c r="D3" s="1">
        <f>'biomarker(6months)'!J35</f>
        <v>13048564.865398349</v>
      </c>
      <c r="E3" s="89">
        <f>'biometrics(1yr)'!J35</f>
        <v>12693246.547353383</v>
      </c>
    </row>
    <row r="4" spans="1:5">
      <c r="A4" t="str">
        <f>'[1]pre-post'!L56</f>
        <v>Direct benefit per graduate</v>
      </c>
      <c r="B4" s="207">
        <f>recalls!J36</f>
        <v>2271.1958275354787</v>
      </c>
      <c r="C4" s="89">
        <f>'biomarkers(pre-post)'!J36</f>
        <v>8376.3292039572516</v>
      </c>
      <c r="D4" s="1">
        <f>'biomarker(6months)'!J36</f>
        <v>8658.6362743187456</v>
      </c>
      <c r="E4" s="89">
        <f>'biometrics(1yr)'!J36</f>
        <v>8422.8576956558609</v>
      </c>
    </row>
    <row r="5" spans="1:5">
      <c r="A5" t="str">
        <f>'[1]pre-post'!L57</f>
        <v>sum of indirect benefits</v>
      </c>
      <c r="B5" s="207">
        <f>recalls!J37</f>
        <v>319300.13337838487</v>
      </c>
      <c r="C5" s="89">
        <f>'biomarkers(pre-post)'!J37</f>
        <v>1133317.3816139728</v>
      </c>
      <c r="D5" s="1">
        <f>'biomarker(6months)'!J37</f>
        <v>1200450.9620076651</v>
      </c>
      <c r="E5" s="89">
        <f>'biometrics(1yr)'!J37</f>
        <v>1180378.6476939113</v>
      </c>
    </row>
    <row r="6" spans="1:5">
      <c r="A6" t="str">
        <f>'[1]pre-post'!L58</f>
        <v>indirect benefits per graduate</v>
      </c>
      <c r="B6" s="207">
        <f>recalls!J38</f>
        <v>211.87799162467476</v>
      </c>
      <c r="C6" s="89">
        <f>'biomarkers(pre-post)'!J38</f>
        <v>752.03542243793822</v>
      </c>
      <c r="D6" s="1">
        <f>'biomarker(6months)'!J38</f>
        <v>796.5832528252588</v>
      </c>
      <c r="E6" s="89">
        <f>'biometrics(1yr)'!J38</f>
        <v>783.26386708288737</v>
      </c>
    </row>
    <row r="7" spans="1:5">
      <c r="A7" t="str">
        <f>'[1]pre-post'!L59</f>
        <v>total benefits</v>
      </c>
      <c r="B7" s="207">
        <f>recalls!J39</f>
        <v>3741992.2454743506</v>
      </c>
      <c r="C7" s="89">
        <f>'biomarkers(pre-post)'!J39</f>
        <v>13756445.491977552</v>
      </c>
      <c r="D7" s="1">
        <f>'biomarker(6months)'!J39</f>
        <v>14249015.827406015</v>
      </c>
      <c r="E7" s="89">
        <f>'biometrics(1yr)'!J39</f>
        <v>13873625.195047295</v>
      </c>
    </row>
    <row r="8" spans="1:5">
      <c r="A8" t="str">
        <f>'[1]pre-post'!L60</f>
        <v>total benefits per graduate</v>
      </c>
      <c r="B8" s="207">
        <f>recalls!J40</f>
        <v>2483.0738191601531</v>
      </c>
      <c r="C8" s="89">
        <f>'biomarkers(pre-post)'!J40</f>
        <v>9128.3646263951905</v>
      </c>
      <c r="D8" s="1">
        <f>'biomarker(6months)'!J40</f>
        <v>9455.219527144005</v>
      </c>
      <c r="E8" s="89">
        <f>'biometrics(1yr)'!J40</f>
        <v>9206.1215627387483</v>
      </c>
    </row>
    <row r="9" spans="1:5">
      <c r="A9" t="str">
        <f>'[1]pre-post'!L61</f>
        <v>costs</v>
      </c>
      <c r="B9" s="207">
        <f>recalls!J41</f>
        <v>1822135.8199999998</v>
      </c>
      <c r="C9" s="89">
        <f>'biomarkers(pre-post)'!J41</f>
        <v>1822135.8199999998</v>
      </c>
      <c r="D9" s="1">
        <f>'biomarker(6months)'!J41</f>
        <v>1822135.8199999998</v>
      </c>
      <c r="E9" s="89">
        <f>'biometrics(1yr)'!J41</f>
        <v>1822135.8199999998</v>
      </c>
    </row>
    <row r="10" spans="1:5">
      <c r="A10" t="str">
        <f>'[1]pre-post'!L62</f>
        <v>costs per graduate</v>
      </c>
      <c r="B10" s="207">
        <f>recalls!J42</f>
        <v>1209.1146781685466</v>
      </c>
      <c r="C10" s="89">
        <f>'biomarkers(pre-post)'!J42</f>
        <v>1209.1146781685466</v>
      </c>
      <c r="D10" s="1">
        <f>'biomarker(6months)'!J42</f>
        <v>1209.1146781685466</v>
      </c>
      <c r="E10" s="89">
        <f>'biometrics(1yr)'!J42</f>
        <v>1209.1146781685466</v>
      </c>
    </row>
    <row r="11" spans="1:5">
      <c r="A11" t="str">
        <f>'[1]pre-post'!L63</f>
        <v>benefit cost ratio</v>
      </c>
      <c r="B11" s="207">
        <f>recalls!J43</f>
        <v>2.0536297044390199</v>
      </c>
      <c r="C11" s="207">
        <f>'biomarkers(pre-post)'!J43</f>
        <v>7.5496268395500588</v>
      </c>
      <c r="D11" s="1">
        <f>'biomarker(6months)'!J43</f>
        <v>7.8199526462335935</v>
      </c>
      <c r="E11" s="207">
        <f>'biometrics(1yr)'!J43</f>
        <v>7.6139358234268704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J22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39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6">
        <v>52</v>
      </c>
      <c r="B1" s="226"/>
      <c r="C1" s="226"/>
      <c r="D1" s="226"/>
      <c r="E1" s="226"/>
      <c r="G1" s="171"/>
      <c r="H1" s="187"/>
      <c r="I1" s="227"/>
      <c r="J1" s="230"/>
      <c r="K1" s="231"/>
      <c r="L1" s="231"/>
      <c r="M1" s="231"/>
      <c r="N1" s="231"/>
      <c r="O1" s="231"/>
      <c r="P1" s="231"/>
      <c r="Q1" s="231"/>
      <c r="R1" s="231"/>
      <c r="S1" s="232"/>
      <c r="T1" s="239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6"/>
      <c r="B2" s="226"/>
      <c r="C2" s="226"/>
      <c r="D2" s="226"/>
      <c r="E2" s="226"/>
      <c r="G2" s="171"/>
      <c r="H2" s="187"/>
      <c r="I2" s="228"/>
      <c r="J2" s="233"/>
      <c r="K2" s="234"/>
      <c r="L2" s="234"/>
      <c r="M2" s="234"/>
      <c r="N2" s="234"/>
      <c r="O2" s="234"/>
      <c r="P2" s="234"/>
      <c r="Q2" s="234"/>
      <c r="R2" s="234"/>
      <c r="S2" s="235"/>
      <c r="T2" s="239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0" t="s">
        <v>5</v>
      </c>
      <c r="B3" s="240"/>
      <c r="C3" s="240"/>
      <c r="D3" s="240"/>
      <c r="E3" s="240"/>
      <c r="G3" s="171"/>
      <c r="H3" s="187"/>
      <c r="I3" s="228"/>
      <c r="J3" s="236"/>
      <c r="K3" s="237"/>
      <c r="L3" s="237"/>
      <c r="M3" s="237"/>
      <c r="N3" s="237"/>
      <c r="O3" s="237"/>
      <c r="P3" s="237"/>
      <c r="Q3" s="237"/>
      <c r="R3" s="237"/>
      <c r="S3" s="238"/>
      <c r="T3" s="239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29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22</v>
      </c>
      <c r="E5" s="129">
        <f>(D5/$A$1)</f>
        <v>0.42307692307692307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22</v>
      </c>
      <c r="E6" s="129">
        <f t="shared" ref="E6:E8" si="0">(D6/$A$1)</f>
        <v>0.42307692307692307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27</v>
      </c>
      <c r="E7" s="129">
        <f t="shared" si="0"/>
        <v>0.51923076923076927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16</v>
      </c>
      <c r="E8" s="129">
        <f t="shared" si="0"/>
        <v>0.30769230769230771</v>
      </c>
      <c r="H8" s="112"/>
      <c r="I8" s="185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3">
        <f>E12</f>
        <v>3.8461538461538464E-2</v>
      </c>
      <c r="O8" s="153">
        <f>E13</f>
        <v>0.30769230769230771</v>
      </c>
      <c r="P8" s="153">
        <f>E14</f>
        <v>0.42307692307692307</v>
      </c>
      <c r="Q8" s="153">
        <f>E15</f>
        <v>0.19230769230769232</v>
      </c>
      <c r="R8" s="153">
        <f>E14</f>
        <v>0.42307692307692307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1" t="s">
        <v>28</v>
      </c>
      <c r="B9" s="241"/>
      <c r="C9" s="241"/>
      <c r="D9" s="241"/>
      <c r="E9" s="241"/>
      <c r="I9" s="185" t="s">
        <v>29</v>
      </c>
      <c r="J9" s="164">
        <f t="shared" ref="J9:S9" si="1">J5*J6*J7*J8</f>
        <v>15.301846153846153</v>
      </c>
      <c r="K9" s="164">
        <f t="shared" si="1"/>
        <v>133.24082538461539</v>
      </c>
      <c r="L9" s="165">
        <f t="shared" si="1"/>
        <v>40.563803076923087</v>
      </c>
      <c r="M9" s="166">
        <f t="shared" si="1"/>
        <v>16.846868923076926</v>
      </c>
      <c r="N9" s="164">
        <f t="shared" si="1"/>
        <v>2.8552357859531776</v>
      </c>
      <c r="O9" s="164">
        <f t="shared" si="1"/>
        <v>85.690338461538474</v>
      </c>
      <c r="P9" s="164">
        <f t="shared" si="1"/>
        <v>242.27923076923076</v>
      </c>
      <c r="Q9" s="164">
        <f t="shared" si="1"/>
        <v>48.397884615384619</v>
      </c>
      <c r="R9" s="164">
        <f>R5*R6*R7*R8</f>
        <v>51.133669230769229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1"/>
      <c r="B10" s="241"/>
      <c r="C10" s="241"/>
      <c r="D10" s="241"/>
      <c r="E10" s="241"/>
      <c r="I10" s="185" t="s">
        <v>30</v>
      </c>
      <c r="J10" s="154">
        <f>'Colorectal Benefit'!$F$16</f>
        <v>16990.687825378518</v>
      </c>
      <c r="K10" s="154">
        <f>'Heart Disease Benefit'!$G$16</f>
        <v>5163.385482584883</v>
      </c>
      <c r="L10" s="154">
        <f>'Stroke Benefits'!$G$18</f>
        <v>26965.530436548026</v>
      </c>
      <c r="M10" s="154">
        <f>'Hypertension Benefit'!$G$29</f>
        <v>1744.5312207539419</v>
      </c>
      <c r="N10" s="154">
        <f>osteoporosis!$C$35</f>
        <v>54357.895797724443</v>
      </c>
      <c r="O10" s="154">
        <f>'Type 2 Diabeties'!$C$31</f>
        <v>29894.750187047826</v>
      </c>
      <c r="P10" s="154">
        <f>Obesity!$C$45</f>
        <v>22157.275351603847</v>
      </c>
      <c r="Q10" s="154">
        <f>FIGURES!$F$14</f>
        <v>24258.2987284423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1"/>
      <c r="B11" s="241"/>
      <c r="C11" s="241"/>
      <c r="D11" s="241"/>
      <c r="E11" s="241"/>
      <c r="I11" s="185" t="s">
        <v>31</v>
      </c>
      <c r="J11" s="242">
        <f t="shared" ref="J11:S11" si="2">J9*J10</f>
        <v>259988.89115196894</v>
      </c>
      <c r="K11" s="242">
        <f t="shared" si="2"/>
        <v>687973.74347855046</v>
      </c>
      <c r="L11" s="244">
        <f t="shared" si="2"/>
        <v>1093824.4664929099</v>
      </c>
      <c r="M11" s="246">
        <f t="shared" si="2"/>
        <v>29389.888808257034</v>
      </c>
      <c r="N11" s="242">
        <f t="shared" si="2"/>
        <v>155204.60933077667</v>
      </c>
      <c r="O11" s="242">
        <f t="shared" si="2"/>
        <v>2561691.261751269</v>
      </c>
      <c r="P11" s="242">
        <f t="shared" si="2"/>
        <v>5368247.6281286171</v>
      </c>
      <c r="Q11" s="242">
        <f t="shared" si="2"/>
        <v>1174050.3428246819</v>
      </c>
      <c r="R11" s="224">
        <f>R9*R10</f>
        <v>1114672.3451012752</v>
      </c>
      <c r="S11" s="242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3"/>
      <c r="K12" s="243"/>
      <c r="L12" s="245"/>
      <c r="M12" s="247"/>
      <c r="N12" s="241"/>
      <c r="O12" s="241"/>
      <c r="P12" s="241"/>
      <c r="Q12" s="241"/>
      <c r="R12" s="225"/>
      <c r="S12" s="241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16</v>
      </c>
      <c r="E13" s="129">
        <f t="shared" ref="E13:E15" si="3">(D13/$A$1)</f>
        <v>0.30769230769230771</v>
      </c>
      <c r="F13" s="134"/>
      <c r="G13" s="171"/>
      <c r="H13" s="112"/>
      <c r="I13" s="185" t="s">
        <v>33</v>
      </c>
      <c r="J13" s="155">
        <f>SUM(J11:S12)</f>
        <v>12623128.110363578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39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22</v>
      </c>
      <c r="E14" s="129">
        <f t="shared" si="3"/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8" t="s">
        <v>35</v>
      </c>
      <c r="B16" s="248"/>
      <c r="C16" s="248"/>
      <c r="D16" s="248"/>
      <c r="E16" s="248"/>
      <c r="I16" s="227"/>
      <c r="J16" s="230"/>
      <c r="K16" s="231"/>
      <c r="L16" s="231"/>
      <c r="M16" s="231"/>
      <c r="N16" s="231"/>
      <c r="O16" s="231"/>
      <c r="P16" s="231"/>
      <c r="Q16" s="231"/>
      <c r="R16" s="231"/>
      <c r="S16" s="232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8"/>
      <c r="J17" s="233"/>
      <c r="K17" s="234"/>
      <c r="L17" s="234"/>
      <c r="M17" s="234"/>
      <c r="N17" s="234"/>
      <c r="O17" s="234"/>
      <c r="P17" s="234"/>
      <c r="Q17" s="234"/>
      <c r="R17" s="234"/>
      <c r="S17" s="235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8"/>
      <c r="D18" s="220">
        <v>2</v>
      </c>
      <c r="E18" s="221">
        <f>(D18/$A$1)</f>
        <v>3.8461538461538464E-2</v>
      </c>
      <c r="G18" s="171"/>
      <c r="H18" s="188"/>
      <c r="I18" s="228"/>
      <c r="J18" s="236"/>
      <c r="K18" s="237"/>
      <c r="L18" s="237"/>
      <c r="M18" s="237"/>
      <c r="N18" s="237"/>
      <c r="O18" s="237"/>
      <c r="P18" s="237"/>
      <c r="Q18" s="237"/>
      <c r="R18" s="237"/>
      <c r="S18" s="238"/>
      <c r="T18" s="239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19"/>
      <c r="G19" s="171"/>
      <c r="H19" s="188"/>
      <c r="I19" s="229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39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19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39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19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39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19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39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19"/>
      <c r="G23" s="171"/>
      <c r="H23" s="188"/>
      <c r="I23" s="185" t="s">
        <v>157</v>
      </c>
      <c r="J23" s="129">
        <f t="shared" ref="J23:S24" si="4">J8</f>
        <v>0.42307692307692307</v>
      </c>
      <c r="K23" s="129">
        <f t="shared" si="4"/>
        <v>0.42307692307692307</v>
      </c>
      <c r="L23" s="129">
        <f t="shared" si="4"/>
        <v>0.51923076923076927</v>
      </c>
      <c r="M23" s="129">
        <f t="shared" si="4"/>
        <v>0.30769230769230771</v>
      </c>
      <c r="N23" s="153">
        <f t="shared" si="4"/>
        <v>3.8461538461538464E-2</v>
      </c>
      <c r="O23" s="153">
        <f t="shared" si="4"/>
        <v>0.30769230769230771</v>
      </c>
      <c r="P23" s="153">
        <f t="shared" si="4"/>
        <v>0.42307692307692307</v>
      </c>
      <c r="Q23" s="153">
        <f t="shared" si="4"/>
        <v>0.19230769230769232</v>
      </c>
      <c r="R23" s="153"/>
      <c r="S23" s="153">
        <f t="shared" si="4"/>
        <v>0.21153846153846154</v>
      </c>
      <c r="T23" s="239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19"/>
      <c r="G24" s="171"/>
      <c r="H24" s="188"/>
      <c r="I24" s="185" t="s">
        <v>29</v>
      </c>
      <c r="J24" s="164">
        <f t="shared" si="4"/>
        <v>15.301846153846153</v>
      </c>
      <c r="K24" s="164">
        <f t="shared" si="4"/>
        <v>133.24082538461539</v>
      </c>
      <c r="L24" s="165">
        <f t="shared" si="4"/>
        <v>40.563803076923087</v>
      </c>
      <c r="M24" s="166">
        <f t="shared" si="4"/>
        <v>16.846868923076926</v>
      </c>
      <c r="N24" s="164">
        <f t="shared" si="4"/>
        <v>2.8552357859531776</v>
      </c>
      <c r="O24" s="164">
        <f t="shared" si="4"/>
        <v>85.690338461538474</v>
      </c>
      <c r="P24" s="164">
        <f t="shared" si="4"/>
        <v>242.27923076923076</v>
      </c>
      <c r="Q24" s="164">
        <f t="shared" si="4"/>
        <v>48.397884615384619</v>
      </c>
      <c r="R24" s="164"/>
      <c r="S24" s="164">
        <f t="shared" si="4"/>
        <v>70.133461538461546</v>
      </c>
      <c r="T24" s="239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19"/>
      <c r="G25" s="171"/>
      <c r="H25" s="188"/>
      <c r="I25" s="185" t="s">
        <v>39</v>
      </c>
      <c r="J25" s="155">
        <f>'Colorectal Benefit'!$R$15</f>
        <v>1416.173513037204</v>
      </c>
      <c r="K25" s="155">
        <f>'Heart Disease Benefit'!$S$16</f>
        <v>1191.4603282047069</v>
      </c>
      <c r="L25" s="155">
        <f>'Stroke Benefits'!$U$18</f>
        <v>4423.1591621347452</v>
      </c>
      <c r="M25" s="155">
        <f>'Hypertension Benefit'!$S$29</f>
        <v>5029.5885513802568</v>
      </c>
      <c r="N25" s="155">
        <f>osteoporosis!$M$22</f>
        <v>1591.5294686921341</v>
      </c>
      <c r="O25" s="155">
        <f>'Type 2 Diabeties'!$Q$18</f>
        <v>1499.2708266935911</v>
      </c>
      <c r="P25" s="155">
        <f>Obesity!$N$32</f>
        <v>2082.8085268126674</v>
      </c>
      <c r="Q25" s="155">
        <f>FIGURES!$G$14</f>
        <v>1055.9286788366394</v>
      </c>
      <c r="R25" s="155"/>
      <c r="S25" s="204">
        <v>0</v>
      </c>
      <c r="T25" s="239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19"/>
      <c r="G26" s="171"/>
      <c r="H26" s="188"/>
      <c r="I26" s="255" t="s">
        <v>40</v>
      </c>
      <c r="J26" s="224">
        <f t="shared" ref="J26:S26" si="5">J24*J25</f>
        <v>21670.069223647133</v>
      </c>
      <c r="K26" s="224">
        <f t="shared" si="5"/>
        <v>158751.15754301989</v>
      </c>
      <c r="L26" s="256">
        <f t="shared" si="5"/>
        <v>179420.15723072193</v>
      </c>
      <c r="M26" s="258">
        <f t="shared" si="5"/>
        <v>84732.819062111535</v>
      </c>
      <c r="N26" s="224">
        <f t="shared" si="5"/>
        <v>4544.1918934088289</v>
      </c>
      <c r="O26" s="224">
        <f t="shared" si="5"/>
        <v>128473.02458488441</v>
      </c>
      <c r="P26" s="224">
        <f t="shared" si="5"/>
        <v>504621.24771576782</v>
      </c>
      <c r="Q26" s="224">
        <f t="shared" si="5"/>
        <v>51104.714360411199</v>
      </c>
      <c r="R26" s="209"/>
      <c r="S26" s="224">
        <f t="shared" si="5"/>
        <v>0</v>
      </c>
      <c r="T26" s="239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5"/>
      <c r="J27" s="225"/>
      <c r="K27" s="225"/>
      <c r="L27" s="257"/>
      <c r="M27" s="259"/>
      <c r="N27" s="225"/>
      <c r="O27" s="225"/>
      <c r="P27" s="225"/>
      <c r="Q27" s="225"/>
      <c r="R27" s="210"/>
      <c r="S27" s="225"/>
      <c r="T27" s="239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1133317.3816139728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39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39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39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2" si="6">J11+J26</f>
        <v>281658.96037561609</v>
      </c>
      <c r="K31" s="161">
        <f t="shared" si="6"/>
        <v>846724.90102157032</v>
      </c>
      <c r="L31" s="161">
        <f t="shared" si="6"/>
        <v>1273244.623723632</v>
      </c>
      <c r="M31" s="161">
        <f t="shared" si="6"/>
        <v>114122.70787036857</v>
      </c>
      <c r="N31" s="161">
        <f t="shared" si="6"/>
        <v>159748.8012241855</v>
      </c>
      <c r="O31" s="161">
        <f t="shared" si="6"/>
        <v>2690164.2863361533</v>
      </c>
      <c r="P31" s="161">
        <f t="shared" si="6"/>
        <v>5872868.8758443845</v>
      </c>
      <c r="Q31" s="161">
        <f t="shared" si="6"/>
        <v>1225155.0571850932</v>
      </c>
      <c r="R31" s="161">
        <f t="shared" si="6"/>
        <v>1114672.3451012752</v>
      </c>
      <c r="S31" s="161">
        <f t="shared" si="6"/>
        <v>178084.93329527156</v>
      </c>
      <c r="T31" s="239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281658.96037561609</v>
      </c>
      <c r="K32" s="111">
        <v>846724.90102157032</v>
      </c>
      <c r="L32" s="111">
        <v>1273244.623723632</v>
      </c>
      <c r="M32" s="111">
        <v>114122.70787036857</v>
      </c>
      <c r="N32" s="79">
        <v>159748.8012241855</v>
      </c>
      <c r="O32" s="79">
        <v>2690164.2863361533</v>
      </c>
      <c r="P32" s="79">
        <v>5872868.8758443845</v>
      </c>
      <c r="Q32" s="79">
        <v>1225155.0571850932</v>
      </c>
      <c r="R32" s="79">
        <v>1114672.3451012752</v>
      </c>
      <c r="S32" s="79">
        <v>178084.93329527156</v>
      </c>
      <c r="T32" s="239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39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39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12623128.110363578</v>
      </c>
      <c r="K35" s="161"/>
      <c r="L35" s="161"/>
      <c r="M35" s="111"/>
      <c r="T35" s="239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49" t="s">
        <v>36</v>
      </c>
      <c r="E36" s="252" t="s">
        <v>37</v>
      </c>
      <c r="G36" s="171"/>
      <c r="H36" s="188"/>
      <c r="I36" s="145" t="s">
        <v>44</v>
      </c>
      <c r="J36" s="89">
        <f>(J35/J34)</f>
        <v>8376.3292039572516</v>
      </c>
      <c r="K36" s="161"/>
      <c r="L36" s="161"/>
      <c r="M36" s="111"/>
      <c r="T36" s="239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0"/>
      <c r="E37" s="253"/>
      <c r="G37" s="171"/>
      <c r="H37" s="188"/>
      <c r="I37" s="145" t="s">
        <v>45</v>
      </c>
      <c r="J37" s="89">
        <f>$J$28</f>
        <v>1133317.3816139728</v>
      </c>
      <c r="K37" s="161"/>
      <c r="L37" s="161"/>
      <c r="M37" s="111"/>
      <c r="T37" s="239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0"/>
      <c r="E38" s="253"/>
      <c r="G38" s="171"/>
      <c r="H38" s="188"/>
      <c r="I38" s="145" t="s">
        <v>46</v>
      </c>
      <c r="J38" s="89">
        <f>(J37/J34)</f>
        <v>752.03542243793822</v>
      </c>
      <c r="K38" s="161"/>
      <c r="L38" s="161"/>
      <c r="M38" s="111"/>
      <c r="T38" s="239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0"/>
      <c r="E39" s="253"/>
      <c r="G39" s="171"/>
      <c r="H39" s="188"/>
      <c r="I39" s="145" t="s">
        <v>47</v>
      </c>
      <c r="J39" s="89">
        <f>SUM(J35,J37)</f>
        <v>13756445.491977552</v>
      </c>
      <c r="K39" s="161"/>
      <c r="L39" s="161"/>
      <c r="M39" s="111"/>
      <c r="T39" s="239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0"/>
      <c r="E40" s="253"/>
      <c r="G40" s="171"/>
      <c r="H40" s="188"/>
      <c r="I40" s="145" t="s">
        <v>48</v>
      </c>
      <c r="J40" s="89">
        <f>J39/J34</f>
        <v>9128.3646263951905</v>
      </c>
      <c r="K40" s="161"/>
      <c r="L40" s="161"/>
      <c r="M40" s="111"/>
      <c r="T40" s="239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0"/>
      <c r="E41" s="253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39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0"/>
      <c r="E42" s="253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39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0"/>
      <c r="E43" s="253"/>
      <c r="G43" s="171"/>
      <c r="H43" s="188"/>
      <c r="I43" s="145" t="s">
        <v>51</v>
      </c>
      <c r="J43" s="207">
        <f>J40/J42</f>
        <v>7.5496268395500588</v>
      </c>
      <c r="K43" s="163"/>
      <c r="L43" s="111"/>
      <c r="M43" s="111"/>
      <c r="T43" s="239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0"/>
      <c r="E44" s="253"/>
      <c r="G44" s="171"/>
      <c r="H44" s="188"/>
      <c r="I44" s="145"/>
      <c r="J44" s="111"/>
      <c r="K44" s="111"/>
      <c r="L44" s="111"/>
      <c r="M44" s="111"/>
      <c r="T44" s="239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0"/>
      <c r="E45" s="253"/>
      <c r="G45" s="171"/>
      <c r="H45" s="188"/>
      <c r="I45" s="145"/>
      <c r="J45" s="111"/>
      <c r="K45" s="111"/>
      <c r="L45" s="111"/>
      <c r="M45" s="111"/>
      <c r="T45" s="239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0"/>
      <c r="E46" s="253"/>
      <c r="G46" s="171"/>
      <c r="H46" s="188"/>
      <c r="I46" s="145"/>
      <c r="J46" s="111"/>
      <c r="K46" s="111"/>
      <c r="L46" s="111"/>
      <c r="M46" s="111"/>
      <c r="T46" s="239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0"/>
      <c r="E47" s="253"/>
      <c r="G47" s="171"/>
      <c r="H47" s="188"/>
      <c r="I47" s="145"/>
      <c r="J47" s="111"/>
      <c r="K47" s="111"/>
      <c r="L47" s="111"/>
      <c r="M47" s="111"/>
      <c r="T47" s="239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0"/>
      <c r="E48" s="253"/>
      <c r="G48" s="171"/>
      <c r="H48" s="188"/>
      <c r="I48" s="145"/>
      <c r="J48" s="111"/>
      <c r="K48" s="111"/>
      <c r="L48" s="111"/>
      <c r="M48" s="111"/>
      <c r="T48" s="239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0"/>
      <c r="E49" s="253"/>
      <c r="G49" s="171"/>
      <c r="H49" s="188"/>
      <c r="I49" s="145"/>
      <c r="J49" s="111"/>
      <c r="K49" s="111"/>
      <c r="L49" s="111"/>
      <c r="M49" s="111"/>
      <c r="T49" s="239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0"/>
      <c r="E50" s="253"/>
      <c r="G50" s="171"/>
      <c r="H50" s="188"/>
      <c r="I50" s="145"/>
      <c r="J50" s="111"/>
      <c r="K50" s="111"/>
      <c r="L50" s="111"/>
      <c r="M50" s="111"/>
      <c r="T50" s="239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0"/>
      <c r="E51" s="253"/>
      <c r="G51" s="171"/>
      <c r="H51" s="188"/>
      <c r="I51" s="145"/>
      <c r="J51" s="111"/>
      <c r="K51" s="111"/>
      <c r="L51" s="111"/>
      <c r="M51" s="111"/>
      <c r="T51" s="239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1"/>
      <c r="E52" s="254"/>
      <c r="G52" s="171"/>
      <c r="H52" s="188"/>
      <c r="I52" s="145"/>
      <c r="J52" s="111"/>
      <c r="K52" s="111"/>
      <c r="L52" s="111"/>
      <c r="M52" s="111"/>
      <c r="T52" s="239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39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39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39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39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39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39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39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39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39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39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39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39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39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39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39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39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39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39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39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S26:S27"/>
    <mergeCell ref="E36:E52"/>
    <mergeCell ref="I26:I27"/>
    <mergeCell ref="J26:J27"/>
    <mergeCell ref="K26:K27"/>
    <mergeCell ref="L26:L27"/>
    <mergeCell ref="M26:M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J19" zoomScale="90" zoomScaleNormal="9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39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6">
        <v>52</v>
      </c>
      <c r="B1" s="226"/>
      <c r="C1" s="226"/>
      <c r="D1" s="226"/>
      <c r="E1" s="226"/>
      <c r="G1" s="171"/>
      <c r="H1" s="187"/>
      <c r="I1" s="227"/>
      <c r="J1" s="230"/>
      <c r="K1" s="231"/>
      <c r="L1" s="231"/>
      <c r="M1" s="231"/>
      <c r="N1" s="231"/>
      <c r="O1" s="231"/>
      <c r="P1" s="231"/>
      <c r="Q1" s="231"/>
      <c r="R1" s="231"/>
      <c r="S1" s="232"/>
      <c r="T1" s="239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6"/>
      <c r="B2" s="226"/>
      <c r="C2" s="226"/>
      <c r="D2" s="226"/>
      <c r="E2" s="226"/>
      <c r="G2" s="171"/>
      <c r="H2" s="187"/>
      <c r="I2" s="228"/>
      <c r="J2" s="233"/>
      <c r="K2" s="234"/>
      <c r="L2" s="234"/>
      <c r="M2" s="234"/>
      <c r="N2" s="234"/>
      <c r="O2" s="234"/>
      <c r="P2" s="234"/>
      <c r="Q2" s="234"/>
      <c r="R2" s="234"/>
      <c r="S2" s="235"/>
      <c r="T2" s="239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0" t="s">
        <v>5</v>
      </c>
      <c r="B3" s="240"/>
      <c r="C3" s="240"/>
      <c r="D3" s="240"/>
      <c r="E3" s="240"/>
      <c r="G3" s="171"/>
      <c r="H3" s="187"/>
      <c r="I3" s="228"/>
      <c r="J3" s="236"/>
      <c r="K3" s="237"/>
      <c r="L3" s="237"/>
      <c r="M3" s="237"/>
      <c r="N3" s="237"/>
      <c r="O3" s="237"/>
      <c r="P3" s="237"/>
      <c r="Q3" s="237"/>
      <c r="R3" s="237"/>
      <c r="S3" s="238"/>
      <c r="T3" s="239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29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28</v>
      </c>
      <c r="E7" s="129">
        <f t="shared" si="0"/>
        <v>0.53846153846153844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13</v>
      </c>
      <c r="E8" s="129">
        <f t="shared" si="0"/>
        <v>0.25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3">
        <f>E12</f>
        <v>3.8461538461538464E-2</v>
      </c>
      <c r="O8" s="153">
        <f>E13</f>
        <v>0.19230769230769232</v>
      </c>
      <c r="P8" s="153">
        <f>E14</f>
        <v>0.5</v>
      </c>
      <c r="Q8" s="153">
        <f>E15</f>
        <v>0.19230769230769232</v>
      </c>
      <c r="R8" s="153">
        <f>E14</f>
        <v>0.5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1" t="s">
        <v>28</v>
      </c>
      <c r="B9" s="241"/>
      <c r="C9" s="241"/>
      <c r="D9" s="241"/>
      <c r="E9" s="241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42.066166153846154</v>
      </c>
      <c r="M9" s="166">
        <f t="shared" si="1"/>
        <v>13.688081</v>
      </c>
      <c r="N9" s="164">
        <f t="shared" si="1"/>
        <v>2.8552357859531776</v>
      </c>
      <c r="O9" s="164">
        <f t="shared" si="1"/>
        <v>53.556461538461541</v>
      </c>
      <c r="P9" s="164">
        <f t="shared" si="1"/>
        <v>286.33</v>
      </c>
      <c r="Q9" s="164">
        <f t="shared" si="1"/>
        <v>48.397884615384619</v>
      </c>
      <c r="R9" s="164">
        <f>R5*R6*R7*R8</f>
        <v>60.430699999999995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1"/>
      <c r="B10" s="241"/>
      <c r="C10" s="241"/>
      <c r="D10" s="241"/>
      <c r="E10" s="241"/>
      <c r="I10" s="185" t="s">
        <v>30</v>
      </c>
      <c r="J10" s="154">
        <f>'Colorectal Benefit'!$F$16</f>
        <v>16990.687825378518</v>
      </c>
      <c r="K10" s="154">
        <f>'Heart Disease Benefit'!$G$16</f>
        <v>5163.385482584883</v>
      </c>
      <c r="L10" s="154">
        <f>'Stroke Benefits'!$G$18</f>
        <v>26965.530436548026</v>
      </c>
      <c r="M10" s="154">
        <f>'Hypertension Benefit'!$G$29</f>
        <v>1744.5312207539419</v>
      </c>
      <c r="N10" s="154">
        <f>osteoporosis!$C$35</f>
        <v>54357.895797724443</v>
      </c>
      <c r="O10" s="154">
        <f>'Type 2 Diabeties'!$C$31</f>
        <v>29894.750187047826</v>
      </c>
      <c r="P10" s="154">
        <f>Obesity!$C$45</f>
        <v>22157.275351603847</v>
      </c>
      <c r="Q10" s="154">
        <f>FIGURES!$F$14</f>
        <v>24258.2987284423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1"/>
      <c r="B11" s="241"/>
      <c r="C11" s="241"/>
      <c r="D11" s="241"/>
      <c r="E11" s="241"/>
      <c r="I11" s="185" t="s">
        <v>31</v>
      </c>
      <c r="J11" s="242">
        <f t="shared" ref="J11:S11" si="2">J9*J10</f>
        <v>307259.59863414511</v>
      </c>
      <c r="K11" s="242">
        <f t="shared" si="2"/>
        <v>813059.8786564687</v>
      </c>
      <c r="L11" s="244">
        <f t="shared" si="2"/>
        <v>1134336.483770425</v>
      </c>
      <c r="M11" s="246">
        <f t="shared" si="2"/>
        <v>23879.284656708838</v>
      </c>
      <c r="N11" s="242">
        <f t="shared" si="2"/>
        <v>155204.60933077667</v>
      </c>
      <c r="O11" s="242">
        <f t="shared" si="2"/>
        <v>1601057.0385945428</v>
      </c>
      <c r="P11" s="242">
        <f t="shared" si="2"/>
        <v>6344292.6514247293</v>
      </c>
      <c r="Q11" s="242">
        <f t="shared" si="2"/>
        <v>1174050.3428246819</v>
      </c>
      <c r="R11" s="224">
        <f>R9*R10</f>
        <v>1317340.0442105979</v>
      </c>
      <c r="S11" s="242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3"/>
      <c r="K12" s="243"/>
      <c r="L12" s="245"/>
      <c r="M12" s="247"/>
      <c r="N12" s="241"/>
      <c r="O12" s="241"/>
      <c r="P12" s="241"/>
      <c r="Q12" s="241"/>
      <c r="R12" s="225"/>
      <c r="S12" s="241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10</v>
      </c>
      <c r="E13" s="129">
        <f t="shared" ref="E13:E15" si="3">(D13/$A$1)</f>
        <v>0.19230769230769232</v>
      </c>
      <c r="F13" s="134"/>
      <c r="G13" s="171"/>
      <c r="H13" s="112"/>
      <c r="I13" s="185" t="s">
        <v>33</v>
      </c>
      <c r="J13" s="155">
        <f>SUM(J11:S12)</f>
        <v>13048564.865398349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39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8" t="s">
        <v>35</v>
      </c>
      <c r="B16" s="248"/>
      <c r="C16" s="248"/>
      <c r="D16" s="248"/>
      <c r="E16" s="248"/>
      <c r="I16" s="227"/>
      <c r="J16" s="230"/>
      <c r="K16" s="231"/>
      <c r="L16" s="231"/>
      <c r="M16" s="231"/>
      <c r="N16" s="231"/>
      <c r="O16" s="231"/>
      <c r="P16" s="231"/>
      <c r="Q16" s="231"/>
      <c r="R16" s="231"/>
      <c r="S16" s="232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/>
      <c r="C17" s="48"/>
      <c r="D17" s="206">
        <v>11</v>
      </c>
      <c r="E17" s="129">
        <f>(D17/$A$1)</f>
        <v>0.21153846153846154</v>
      </c>
      <c r="H17" s="112"/>
      <c r="I17" s="228"/>
      <c r="J17" s="233"/>
      <c r="K17" s="234"/>
      <c r="L17" s="234"/>
      <c r="M17" s="234"/>
      <c r="N17" s="234"/>
      <c r="O17" s="234"/>
      <c r="P17" s="234"/>
      <c r="Q17" s="234"/>
      <c r="R17" s="234"/>
      <c r="S17" s="235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8"/>
      <c r="D18" s="220">
        <v>2</v>
      </c>
      <c r="E18" s="221">
        <f>(D18/$A$1)</f>
        <v>3.8461538461538464E-2</v>
      </c>
      <c r="G18" s="171"/>
      <c r="H18" s="188"/>
      <c r="I18" s="228"/>
      <c r="J18" s="236"/>
      <c r="K18" s="237"/>
      <c r="L18" s="237"/>
      <c r="M18" s="237"/>
      <c r="N18" s="237"/>
      <c r="O18" s="237"/>
      <c r="P18" s="237"/>
      <c r="Q18" s="237"/>
      <c r="R18" s="237"/>
      <c r="S18" s="238"/>
      <c r="T18" s="239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19"/>
      <c r="G19" s="171"/>
      <c r="H19" s="188"/>
      <c r="I19" s="229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39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19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39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19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39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19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39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19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0.53846153846153844</v>
      </c>
      <c r="M23" s="129">
        <f t="shared" si="4"/>
        <v>0.25</v>
      </c>
      <c r="N23" s="153">
        <f t="shared" si="4"/>
        <v>3.8461538461538464E-2</v>
      </c>
      <c r="O23" s="153">
        <f t="shared" si="4"/>
        <v>0.19230769230769232</v>
      </c>
      <c r="P23" s="153">
        <f t="shared" si="4"/>
        <v>0.5</v>
      </c>
      <c r="Q23" s="153">
        <f t="shared" si="4"/>
        <v>0.19230769230769232</v>
      </c>
      <c r="R23" s="153"/>
      <c r="S23" s="153">
        <f t="shared" si="4"/>
        <v>0.21153846153846154</v>
      </c>
      <c r="T23" s="239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19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42.066166153846154</v>
      </c>
      <c r="M24" s="166">
        <f t="shared" si="4"/>
        <v>13.688081</v>
      </c>
      <c r="N24" s="164">
        <f t="shared" si="4"/>
        <v>2.8552357859531776</v>
      </c>
      <c r="O24" s="164">
        <f t="shared" si="4"/>
        <v>53.556461538461541</v>
      </c>
      <c r="P24" s="164">
        <f t="shared" si="4"/>
        <v>286.33</v>
      </c>
      <c r="Q24" s="164">
        <f t="shared" si="4"/>
        <v>48.397884615384619</v>
      </c>
      <c r="R24" s="164"/>
      <c r="S24" s="164">
        <f t="shared" si="4"/>
        <v>70.133461538461546</v>
      </c>
      <c r="T24" s="239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19"/>
      <c r="G25" s="171"/>
      <c r="H25" s="188"/>
      <c r="I25" s="185" t="s">
        <v>39</v>
      </c>
      <c r="J25" s="155">
        <f>'Colorectal Benefit'!$R$15</f>
        <v>1416.173513037204</v>
      </c>
      <c r="K25" s="155">
        <f>'Heart Disease Benefit'!$S$16</f>
        <v>1191.4603282047069</v>
      </c>
      <c r="L25" s="155">
        <f>'Stroke Benefits'!$U$18</f>
        <v>4423.1591621347452</v>
      </c>
      <c r="M25" s="155">
        <f>'Hypertension Benefit'!$S$29</f>
        <v>5029.5885513802568</v>
      </c>
      <c r="N25" s="155">
        <f>osteoporosis!$M$22</f>
        <v>1591.5294686921341</v>
      </c>
      <c r="O25" s="155">
        <f>'Type 2 Diabeties'!$Q$18</f>
        <v>1499.2708266935911</v>
      </c>
      <c r="P25" s="155">
        <f>Obesity!$N$32</f>
        <v>2082.8085268126674</v>
      </c>
      <c r="Q25" s="155">
        <f>FIGURES!$G$14</f>
        <v>1055.9286788366394</v>
      </c>
      <c r="R25" s="155"/>
      <c r="S25" s="204">
        <v>0</v>
      </c>
      <c r="T25" s="239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19"/>
      <c r="G26" s="171"/>
      <c r="H26" s="188"/>
      <c r="I26" s="255" t="s">
        <v>40</v>
      </c>
      <c r="J26" s="224">
        <f t="shared" ref="J26:S26" si="5">J24*J25</f>
        <v>25610.081809764797</v>
      </c>
      <c r="K26" s="224">
        <f t="shared" si="5"/>
        <v>187615.00436902352</v>
      </c>
      <c r="L26" s="256">
        <f t="shared" si="5"/>
        <v>186065.34823926713</v>
      </c>
      <c r="M26" s="258">
        <f t="shared" si="5"/>
        <v>68845.415487965613</v>
      </c>
      <c r="N26" s="224">
        <f t="shared" si="5"/>
        <v>4544.1918934088289</v>
      </c>
      <c r="O26" s="224">
        <f t="shared" si="5"/>
        <v>80295.640365552754</v>
      </c>
      <c r="P26" s="224">
        <f t="shared" si="5"/>
        <v>596370.56548227102</v>
      </c>
      <c r="Q26" s="224">
        <f t="shared" si="5"/>
        <v>51104.714360411199</v>
      </c>
      <c r="R26" s="209"/>
      <c r="S26" s="224">
        <f t="shared" si="5"/>
        <v>0</v>
      </c>
      <c r="T26" s="239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5"/>
      <c r="J27" s="225"/>
      <c r="K27" s="225"/>
      <c r="L27" s="257"/>
      <c r="M27" s="259"/>
      <c r="N27" s="225"/>
      <c r="O27" s="225"/>
      <c r="P27" s="225"/>
      <c r="Q27" s="225"/>
      <c r="R27" s="210"/>
      <c r="S27" s="225"/>
      <c r="T27" s="239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1200450.9620076651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39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39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39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332869.68044390989</v>
      </c>
      <c r="K31" s="161">
        <f t="shared" si="6"/>
        <v>1000674.8830254922</v>
      </c>
      <c r="L31" s="161">
        <f t="shared" si="6"/>
        <v>1320401.8320096922</v>
      </c>
      <c r="M31" s="161">
        <f t="shared" si="6"/>
        <v>92724.700144674454</v>
      </c>
      <c r="N31" s="161">
        <f t="shared" si="6"/>
        <v>159748.8012241855</v>
      </c>
      <c r="O31" s="161">
        <f t="shared" si="6"/>
        <v>1681352.6789600956</v>
      </c>
      <c r="P31" s="161">
        <f t="shared" si="6"/>
        <v>6940663.2169070002</v>
      </c>
      <c r="Q31" s="161">
        <f t="shared" si="6"/>
        <v>1225155.0571850932</v>
      </c>
      <c r="R31" s="161">
        <f t="shared" si="6"/>
        <v>1317340.0442105979</v>
      </c>
      <c r="S31" s="161">
        <f t="shared" si="6"/>
        <v>178084.93329527156</v>
      </c>
      <c r="T31" s="239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332869.68044390989</v>
      </c>
      <c r="K32" s="111">
        <v>1000674.8830254922</v>
      </c>
      <c r="L32" s="111">
        <v>1320401.8320096922</v>
      </c>
      <c r="M32" s="111">
        <v>92724.700144674454</v>
      </c>
      <c r="N32" s="79">
        <v>159748.8012241855</v>
      </c>
      <c r="O32" s="79">
        <v>1681352.6789600956</v>
      </c>
      <c r="P32" s="79">
        <v>6940663.2169070002</v>
      </c>
      <c r="Q32" s="79">
        <v>1225155.0571850932</v>
      </c>
      <c r="R32" s="79">
        <v>1317340.0442105979</v>
      </c>
      <c r="S32" s="79">
        <v>178084.93329527156</v>
      </c>
      <c r="T32" s="239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39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39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13048564.865398349</v>
      </c>
      <c r="K35" s="161"/>
      <c r="L35" s="161"/>
      <c r="M35" s="111"/>
      <c r="T35" s="239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49" t="s">
        <v>36</v>
      </c>
      <c r="E36" s="252" t="s">
        <v>37</v>
      </c>
      <c r="G36" s="171"/>
      <c r="H36" s="188"/>
      <c r="I36" s="145" t="s">
        <v>44</v>
      </c>
      <c r="J36" s="89">
        <f>(J35/J34)</f>
        <v>8658.6362743187456</v>
      </c>
      <c r="K36" s="161"/>
      <c r="L36" s="161"/>
      <c r="M36" s="111"/>
      <c r="T36" s="239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0"/>
      <c r="E37" s="253"/>
      <c r="G37" s="171"/>
      <c r="H37" s="188"/>
      <c r="I37" s="145" t="s">
        <v>45</v>
      </c>
      <c r="J37" s="89">
        <f>$J$28</f>
        <v>1200450.9620076651</v>
      </c>
      <c r="K37" s="161"/>
      <c r="L37" s="161"/>
      <c r="M37" s="111"/>
      <c r="T37" s="239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0"/>
      <c r="E38" s="253"/>
      <c r="G38" s="171"/>
      <c r="H38" s="188"/>
      <c r="I38" s="145" t="s">
        <v>46</v>
      </c>
      <c r="J38" s="89">
        <f>(J37/J34)</f>
        <v>796.5832528252588</v>
      </c>
      <c r="K38" s="161"/>
      <c r="L38" s="161"/>
      <c r="M38" s="111"/>
      <c r="T38" s="239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0"/>
      <c r="E39" s="253"/>
      <c r="G39" s="171"/>
      <c r="H39" s="188"/>
      <c r="I39" s="145" t="s">
        <v>47</v>
      </c>
      <c r="J39" s="89">
        <f>SUM(J35,J37)</f>
        <v>14249015.827406015</v>
      </c>
      <c r="K39" s="161"/>
      <c r="L39" s="161"/>
      <c r="M39" s="111"/>
      <c r="T39" s="239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0"/>
      <c r="E40" s="253"/>
      <c r="G40" s="171"/>
      <c r="H40" s="188"/>
      <c r="I40" s="145" t="s">
        <v>48</v>
      </c>
      <c r="J40" s="89">
        <f>J39/J34</f>
        <v>9455.219527144005</v>
      </c>
      <c r="K40" s="161"/>
      <c r="L40" s="161"/>
      <c r="M40" s="111"/>
      <c r="T40" s="239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0"/>
      <c r="E41" s="253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39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0"/>
      <c r="E42" s="253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39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0"/>
      <c r="E43" s="253"/>
      <c r="G43" s="171"/>
      <c r="H43" s="188"/>
      <c r="I43" s="145" t="s">
        <v>51</v>
      </c>
      <c r="J43" s="207">
        <f>J40/J42</f>
        <v>7.8199526462335935</v>
      </c>
      <c r="K43" s="163"/>
      <c r="L43" s="111"/>
      <c r="M43" s="111"/>
      <c r="T43" s="239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0"/>
      <c r="E44" s="253"/>
      <c r="G44" s="171"/>
      <c r="H44" s="188"/>
      <c r="I44" s="145"/>
      <c r="J44" s="111"/>
      <c r="K44" s="111"/>
      <c r="L44" s="111"/>
      <c r="M44" s="111"/>
      <c r="T44" s="239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0"/>
      <c r="E45" s="253"/>
      <c r="G45" s="171"/>
      <c r="H45" s="188"/>
      <c r="I45" s="145"/>
      <c r="J45" s="111"/>
      <c r="K45" s="111"/>
      <c r="L45" s="111"/>
      <c r="M45" s="111"/>
      <c r="T45" s="239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0"/>
      <c r="E46" s="253"/>
      <c r="G46" s="171"/>
      <c r="H46" s="188"/>
      <c r="I46" s="145"/>
      <c r="J46" s="111"/>
      <c r="K46" s="111"/>
      <c r="L46" s="111"/>
      <c r="M46" s="111"/>
      <c r="T46" s="239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0"/>
      <c r="E47" s="253"/>
      <c r="G47" s="171"/>
      <c r="H47" s="188"/>
      <c r="I47" s="145"/>
      <c r="J47" s="111"/>
      <c r="K47" s="111"/>
      <c r="L47" s="111"/>
      <c r="M47" s="111"/>
      <c r="T47" s="239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0"/>
      <c r="E48" s="253"/>
      <c r="G48" s="171"/>
      <c r="H48" s="188"/>
      <c r="I48" s="145"/>
      <c r="J48" s="111"/>
      <c r="K48" s="111"/>
      <c r="L48" s="111"/>
      <c r="M48" s="111"/>
      <c r="T48" s="239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0"/>
      <c r="E49" s="253"/>
      <c r="G49" s="171"/>
      <c r="H49" s="188"/>
      <c r="I49" s="145"/>
      <c r="J49" s="111"/>
      <c r="K49" s="111"/>
      <c r="L49" s="111"/>
      <c r="M49" s="111"/>
      <c r="T49" s="239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0"/>
      <c r="E50" s="253"/>
      <c r="G50" s="171"/>
      <c r="H50" s="188"/>
      <c r="I50" s="145"/>
      <c r="J50" s="111"/>
      <c r="K50" s="111"/>
      <c r="L50" s="111"/>
      <c r="M50" s="111"/>
      <c r="T50" s="239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0"/>
      <c r="E51" s="253"/>
      <c r="G51" s="171"/>
      <c r="H51" s="188"/>
      <c r="I51" s="145"/>
      <c r="J51" s="111"/>
      <c r="K51" s="111"/>
      <c r="L51" s="111"/>
      <c r="M51" s="111"/>
      <c r="T51" s="239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1"/>
      <c r="E52" s="254"/>
      <c r="G52" s="171"/>
      <c r="H52" s="188"/>
      <c r="I52" s="145"/>
      <c r="J52" s="111"/>
      <c r="K52" s="111"/>
      <c r="L52" s="111"/>
      <c r="M52" s="111"/>
      <c r="T52" s="239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39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39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39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39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39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39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39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39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39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39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39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39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39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39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39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39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39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39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39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S26:S27"/>
    <mergeCell ref="E36:E52"/>
    <mergeCell ref="I26:I27"/>
    <mergeCell ref="J26:J27"/>
    <mergeCell ref="K26:K27"/>
    <mergeCell ref="L26:L27"/>
    <mergeCell ref="M26:M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topLeftCell="J25" zoomScaleNormal="10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39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6">
        <v>52</v>
      </c>
      <c r="B1" s="226"/>
      <c r="C1" s="226"/>
      <c r="D1" s="226"/>
      <c r="E1" s="226"/>
      <c r="G1" s="171"/>
      <c r="H1" s="187"/>
      <c r="I1" s="227"/>
      <c r="J1" s="230"/>
      <c r="K1" s="231"/>
      <c r="L1" s="231"/>
      <c r="M1" s="231"/>
      <c r="N1" s="231"/>
      <c r="O1" s="231"/>
      <c r="P1" s="231"/>
      <c r="Q1" s="231"/>
      <c r="R1" s="231"/>
      <c r="S1" s="232"/>
      <c r="T1" s="239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6"/>
      <c r="B2" s="226"/>
      <c r="C2" s="226"/>
      <c r="D2" s="226"/>
      <c r="E2" s="226"/>
      <c r="G2" s="171"/>
      <c r="H2" s="187"/>
      <c r="I2" s="228"/>
      <c r="J2" s="233"/>
      <c r="K2" s="234"/>
      <c r="L2" s="234"/>
      <c r="M2" s="234"/>
      <c r="N2" s="234"/>
      <c r="O2" s="234"/>
      <c r="P2" s="234"/>
      <c r="Q2" s="234"/>
      <c r="R2" s="234"/>
      <c r="S2" s="235"/>
      <c r="T2" s="239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0" t="s">
        <v>5</v>
      </c>
      <c r="B3" s="240"/>
      <c r="C3" s="240"/>
      <c r="D3" s="240"/>
      <c r="E3" s="240"/>
      <c r="G3" s="171"/>
      <c r="H3" s="187"/>
      <c r="I3" s="228"/>
      <c r="J3" s="236"/>
      <c r="K3" s="237"/>
      <c r="L3" s="237"/>
      <c r="M3" s="237"/>
      <c r="N3" s="237"/>
      <c r="O3" s="237"/>
      <c r="P3" s="237"/>
      <c r="Q3" s="237"/>
      <c r="R3" s="237"/>
      <c r="S3" s="238"/>
      <c r="T3" s="239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29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23</v>
      </c>
      <c r="E7" s="129">
        <f t="shared" si="0"/>
        <v>0.44230769230769229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17</v>
      </c>
      <c r="E8" s="129">
        <f t="shared" si="0"/>
        <v>0.32692307692307693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3">
        <f>E12</f>
        <v>3.8461538461538464E-2</v>
      </c>
      <c r="O8" s="153">
        <f>E13</f>
        <v>0.17307692307692307</v>
      </c>
      <c r="P8" s="153">
        <f>E14</f>
        <v>0.5</v>
      </c>
      <c r="Q8" s="153">
        <f>E15</f>
        <v>0.19230769230769232</v>
      </c>
      <c r="R8" s="153">
        <f>E14</f>
        <v>0.5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1" t="s">
        <v>28</v>
      </c>
      <c r="B9" s="241"/>
      <c r="C9" s="241"/>
      <c r="D9" s="241"/>
      <c r="E9" s="241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34.554350769230773</v>
      </c>
      <c r="M9" s="166">
        <f t="shared" si="1"/>
        <v>17.899798230769232</v>
      </c>
      <c r="N9" s="164">
        <f t="shared" si="1"/>
        <v>2.8552357859531776</v>
      </c>
      <c r="O9" s="164">
        <f t="shared" si="1"/>
        <v>48.200815384615389</v>
      </c>
      <c r="P9" s="164">
        <f t="shared" si="1"/>
        <v>286.33</v>
      </c>
      <c r="Q9" s="164">
        <f t="shared" si="1"/>
        <v>48.397884615384619</v>
      </c>
      <c r="R9" s="164">
        <f>R5*R6*R7*R8</f>
        <v>60.430699999999995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1"/>
      <c r="B10" s="241"/>
      <c r="C10" s="241"/>
      <c r="D10" s="241"/>
      <c r="E10" s="241"/>
      <c r="I10" s="185" t="s">
        <v>30</v>
      </c>
      <c r="J10" s="154">
        <f>'Colorectal Benefit'!$F$16</f>
        <v>16990.687825378518</v>
      </c>
      <c r="K10" s="154">
        <f>'Heart Disease Benefit'!$G$16</f>
        <v>5163.385482584883</v>
      </c>
      <c r="L10" s="154">
        <f>'Stroke Benefits'!$G$18</f>
        <v>26965.530436548026</v>
      </c>
      <c r="M10" s="154">
        <f>'Hypertension Benefit'!$G$29</f>
        <v>1744.5312207539419</v>
      </c>
      <c r="N10" s="154">
        <f>osteoporosis!$C$35</f>
        <v>54357.895797724443</v>
      </c>
      <c r="O10" s="154">
        <f>'Type 2 Diabeties'!$C$31</f>
        <v>29894.750187047826</v>
      </c>
      <c r="P10" s="154">
        <f>Obesity!$C$45</f>
        <v>22157.275351603847</v>
      </c>
      <c r="Q10" s="154">
        <f>FIGURES!$F$14</f>
        <v>24258.2987284423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1"/>
      <c r="B11" s="241"/>
      <c r="C11" s="241"/>
      <c r="D11" s="241"/>
      <c r="E11" s="241"/>
      <c r="I11" s="185" t="s">
        <v>31</v>
      </c>
      <c r="J11" s="242">
        <f t="shared" ref="J11:S11" si="2">J9*J10</f>
        <v>307259.59863414511</v>
      </c>
      <c r="K11" s="242">
        <f t="shared" si="2"/>
        <v>813059.8786564687</v>
      </c>
      <c r="L11" s="244">
        <f t="shared" si="2"/>
        <v>931776.39738284913</v>
      </c>
      <c r="M11" s="246">
        <f t="shared" si="2"/>
        <v>31226.756858773097</v>
      </c>
      <c r="N11" s="242">
        <f t="shared" si="2"/>
        <v>155204.60933077667</v>
      </c>
      <c r="O11" s="242">
        <f t="shared" si="2"/>
        <v>1440951.3347350887</v>
      </c>
      <c r="P11" s="242">
        <f t="shared" si="2"/>
        <v>6344292.6514247293</v>
      </c>
      <c r="Q11" s="242">
        <f t="shared" si="2"/>
        <v>1174050.3428246819</v>
      </c>
      <c r="R11" s="224">
        <f>R9*R10</f>
        <v>1317340.0442105979</v>
      </c>
      <c r="S11" s="242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3"/>
      <c r="K12" s="243"/>
      <c r="L12" s="245"/>
      <c r="M12" s="247"/>
      <c r="N12" s="241"/>
      <c r="O12" s="241"/>
      <c r="P12" s="241"/>
      <c r="Q12" s="241"/>
      <c r="R12" s="225"/>
      <c r="S12" s="241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9</v>
      </c>
      <c r="E13" s="129">
        <f t="shared" ref="E13:E15" si="3">(D13/$A$1)</f>
        <v>0.17307692307692307</v>
      </c>
      <c r="F13" s="134"/>
      <c r="G13" s="171"/>
      <c r="H13" s="112"/>
      <c r="I13" s="185" t="s">
        <v>33</v>
      </c>
      <c r="J13" s="155">
        <f>SUM(J11:S12)</f>
        <v>12693246.547353383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39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8" t="s">
        <v>35</v>
      </c>
      <c r="B16" s="248"/>
      <c r="C16" s="248"/>
      <c r="D16" s="248"/>
      <c r="E16" s="248"/>
      <c r="I16" s="227"/>
      <c r="J16" s="230"/>
      <c r="K16" s="231"/>
      <c r="L16" s="231"/>
      <c r="M16" s="231"/>
      <c r="N16" s="231"/>
      <c r="O16" s="231"/>
      <c r="P16" s="231"/>
      <c r="Q16" s="231"/>
      <c r="R16" s="231"/>
      <c r="S16" s="232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8"/>
      <c r="J17" s="233"/>
      <c r="K17" s="234"/>
      <c r="L17" s="234"/>
      <c r="M17" s="234"/>
      <c r="N17" s="234"/>
      <c r="O17" s="234"/>
      <c r="P17" s="234"/>
      <c r="Q17" s="234"/>
      <c r="R17" s="234"/>
      <c r="S17" s="235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8"/>
      <c r="D18" s="220">
        <v>2</v>
      </c>
      <c r="E18" s="221">
        <f>(D18/$A$1)</f>
        <v>3.8461538461538464E-2</v>
      </c>
      <c r="G18" s="171"/>
      <c r="H18" s="188"/>
      <c r="I18" s="228"/>
      <c r="J18" s="236"/>
      <c r="K18" s="237"/>
      <c r="L18" s="237"/>
      <c r="M18" s="237"/>
      <c r="N18" s="237"/>
      <c r="O18" s="237"/>
      <c r="P18" s="237"/>
      <c r="Q18" s="237"/>
      <c r="R18" s="237"/>
      <c r="S18" s="238"/>
      <c r="T18" s="239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19"/>
      <c r="G19" s="171"/>
      <c r="H19" s="188"/>
      <c r="I19" s="229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39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19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39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19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39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19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39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19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0.44230769230769229</v>
      </c>
      <c r="M23" s="129">
        <f t="shared" si="4"/>
        <v>0.32692307692307693</v>
      </c>
      <c r="N23" s="153">
        <f t="shared" si="4"/>
        <v>3.8461538461538464E-2</v>
      </c>
      <c r="O23" s="153">
        <f t="shared" si="4"/>
        <v>0.17307692307692307</v>
      </c>
      <c r="P23" s="153">
        <f t="shared" si="4"/>
        <v>0.5</v>
      </c>
      <c r="Q23" s="153">
        <f t="shared" si="4"/>
        <v>0.19230769230769232</v>
      </c>
      <c r="R23" s="153"/>
      <c r="S23" s="153">
        <f t="shared" si="4"/>
        <v>0.21153846153846154</v>
      </c>
      <c r="T23" s="239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19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34.554350769230773</v>
      </c>
      <c r="M24" s="166">
        <f t="shared" si="4"/>
        <v>17.899798230769232</v>
      </c>
      <c r="N24" s="164">
        <f t="shared" si="4"/>
        <v>2.8552357859531776</v>
      </c>
      <c r="O24" s="164">
        <f t="shared" si="4"/>
        <v>48.200815384615389</v>
      </c>
      <c r="P24" s="164">
        <f t="shared" si="4"/>
        <v>286.33</v>
      </c>
      <c r="Q24" s="164">
        <f t="shared" si="4"/>
        <v>48.397884615384619</v>
      </c>
      <c r="R24" s="164"/>
      <c r="S24" s="164">
        <f t="shared" si="4"/>
        <v>70.133461538461546</v>
      </c>
      <c r="T24" s="239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19"/>
      <c r="G25" s="171"/>
      <c r="H25" s="188"/>
      <c r="I25" s="185" t="s">
        <v>39</v>
      </c>
      <c r="J25" s="155">
        <f>'Colorectal Benefit'!$R$15</f>
        <v>1416.173513037204</v>
      </c>
      <c r="K25" s="155">
        <f>'Heart Disease Benefit'!$S$16</f>
        <v>1191.4603282047069</v>
      </c>
      <c r="L25" s="155">
        <f>'Stroke Benefits'!$U$18</f>
        <v>4423.1591621347452</v>
      </c>
      <c r="M25" s="155">
        <f>'Hypertension Benefit'!$S$29</f>
        <v>5029.5885513802568</v>
      </c>
      <c r="N25" s="155">
        <f>osteoporosis!$M$22</f>
        <v>1591.5294686921341</v>
      </c>
      <c r="O25" s="155">
        <f>'Type 2 Diabeties'!$Q$18</f>
        <v>1499.2708266935911</v>
      </c>
      <c r="P25" s="155">
        <f>Obesity!$N$32</f>
        <v>2082.8085268126674</v>
      </c>
      <c r="Q25" s="155">
        <f>FIGURES!$G$14</f>
        <v>1055.9286788366394</v>
      </c>
      <c r="R25" s="155"/>
      <c r="S25" s="204">
        <v>0</v>
      </c>
      <c r="T25" s="239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19"/>
      <c r="G26" s="171"/>
      <c r="H26" s="188"/>
      <c r="I26" s="255" t="s">
        <v>40</v>
      </c>
      <c r="J26" s="224">
        <f t="shared" ref="J26:S26" si="5">J24*J25</f>
        <v>25610.081809764797</v>
      </c>
      <c r="K26" s="224">
        <f t="shared" si="5"/>
        <v>187615.00436902352</v>
      </c>
      <c r="L26" s="256">
        <f t="shared" si="5"/>
        <v>152839.39319654088</v>
      </c>
      <c r="M26" s="258">
        <f t="shared" si="5"/>
        <v>90028.6202534935</v>
      </c>
      <c r="N26" s="224">
        <f t="shared" si="5"/>
        <v>4544.1918934088289</v>
      </c>
      <c r="O26" s="224">
        <f t="shared" si="5"/>
        <v>72266.076328997471</v>
      </c>
      <c r="P26" s="224">
        <f t="shared" si="5"/>
        <v>596370.56548227102</v>
      </c>
      <c r="Q26" s="224">
        <f t="shared" si="5"/>
        <v>51104.714360411199</v>
      </c>
      <c r="R26" s="209"/>
      <c r="S26" s="224">
        <f t="shared" si="5"/>
        <v>0</v>
      </c>
      <c r="T26" s="239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5"/>
      <c r="J27" s="225"/>
      <c r="K27" s="225"/>
      <c r="L27" s="257"/>
      <c r="M27" s="259"/>
      <c r="N27" s="225"/>
      <c r="O27" s="225"/>
      <c r="P27" s="225"/>
      <c r="Q27" s="225"/>
      <c r="R27" s="210"/>
      <c r="S27" s="225"/>
      <c r="T27" s="239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1180378.6476939113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39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39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39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332869.68044390989</v>
      </c>
      <c r="K31" s="161">
        <f t="shared" si="6"/>
        <v>1000674.8830254922</v>
      </c>
      <c r="L31" s="161">
        <f t="shared" si="6"/>
        <v>1084615.79057939</v>
      </c>
      <c r="M31" s="161">
        <f t="shared" si="6"/>
        <v>121255.37711226659</v>
      </c>
      <c r="N31" s="161">
        <f t="shared" si="6"/>
        <v>159748.8012241855</v>
      </c>
      <c r="O31" s="161">
        <f t="shared" si="6"/>
        <v>1513217.4110640862</v>
      </c>
      <c r="P31" s="161">
        <f t="shared" si="6"/>
        <v>6940663.2169070002</v>
      </c>
      <c r="Q31" s="161">
        <f t="shared" si="6"/>
        <v>1225155.0571850932</v>
      </c>
      <c r="R31" s="161">
        <f t="shared" si="6"/>
        <v>1317340.0442105979</v>
      </c>
      <c r="S31" s="161">
        <f t="shared" si="6"/>
        <v>178084.93329527156</v>
      </c>
      <c r="T31" s="239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332869.68044390989</v>
      </c>
      <c r="K32" s="111">
        <v>1000674.8830254922</v>
      </c>
      <c r="L32" s="111">
        <v>1084615.79057939</v>
      </c>
      <c r="M32" s="111">
        <v>121255.37711226659</v>
      </c>
      <c r="N32" s="79">
        <v>159748.8012241855</v>
      </c>
      <c r="O32" s="79">
        <v>1513217.4110640862</v>
      </c>
      <c r="P32" s="79">
        <v>6940663.2169070002</v>
      </c>
      <c r="Q32" s="79">
        <v>1225155.0571850932</v>
      </c>
      <c r="R32" s="79">
        <v>1317340.0442105979</v>
      </c>
      <c r="S32" s="79">
        <v>178084.93329527156</v>
      </c>
      <c r="T32" s="239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39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39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12693246.547353383</v>
      </c>
      <c r="K35" s="161"/>
      <c r="L35" s="161"/>
      <c r="M35" s="111"/>
      <c r="T35" s="239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49" t="s">
        <v>36</v>
      </c>
      <c r="E36" s="252" t="s">
        <v>37</v>
      </c>
      <c r="G36" s="171"/>
      <c r="H36" s="188"/>
      <c r="I36" s="145" t="s">
        <v>44</v>
      </c>
      <c r="J36" s="89">
        <f>(J35/J34)</f>
        <v>8422.8576956558609</v>
      </c>
      <c r="K36" s="161"/>
      <c r="L36" s="161"/>
      <c r="M36" s="111"/>
      <c r="T36" s="239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0"/>
      <c r="E37" s="253"/>
      <c r="G37" s="171"/>
      <c r="H37" s="188"/>
      <c r="I37" s="145" t="s">
        <v>45</v>
      </c>
      <c r="J37" s="89">
        <f>$J$28</f>
        <v>1180378.6476939113</v>
      </c>
      <c r="K37" s="161"/>
      <c r="L37" s="161"/>
      <c r="M37" s="111"/>
      <c r="T37" s="239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0"/>
      <c r="E38" s="253"/>
      <c r="G38" s="171"/>
      <c r="H38" s="188"/>
      <c r="I38" s="145" t="s">
        <v>46</v>
      </c>
      <c r="J38" s="89">
        <f>(J37/J34)</f>
        <v>783.26386708288737</v>
      </c>
      <c r="K38" s="161"/>
      <c r="L38" s="161"/>
      <c r="M38" s="111"/>
      <c r="T38" s="239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0"/>
      <c r="E39" s="253"/>
      <c r="G39" s="171"/>
      <c r="H39" s="188"/>
      <c r="I39" s="145" t="s">
        <v>47</v>
      </c>
      <c r="J39" s="89">
        <f>SUM(J35,J37)</f>
        <v>13873625.195047295</v>
      </c>
      <c r="K39" s="161"/>
      <c r="L39" s="161"/>
      <c r="M39" s="111"/>
      <c r="T39" s="239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0"/>
      <c r="E40" s="253"/>
      <c r="G40" s="171"/>
      <c r="H40" s="188"/>
      <c r="I40" s="145" t="s">
        <v>48</v>
      </c>
      <c r="J40" s="89">
        <f>J39/J34</f>
        <v>9206.1215627387483</v>
      </c>
      <c r="K40" s="161"/>
      <c r="L40" s="161"/>
      <c r="M40" s="111"/>
      <c r="T40" s="239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0"/>
      <c r="E41" s="253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39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0"/>
      <c r="E42" s="253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39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0"/>
      <c r="E43" s="253"/>
      <c r="G43" s="171"/>
      <c r="H43" s="188"/>
      <c r="I43" s="145" t="s">
        <v>51</v>
      </c>
      <c r="J43" s="207">
        <f>J40/J42</f>
        <v>7.6139358234268704</v>
      </c>
      <c r="K43" s="163"/>
      <c r="L43" s="111"/>
      <c r="M43" s="111"/>
      <c r="T43" s="239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0"/>
      <c r="E44" s="253"/>
      <c r="G44" s="171"/>
      <c r="H44" s="188"/>
      <c r="I44" s="145"/>
      <c r="J44" s="111"/>
      <c r="K44" s="111"/>
      <c r="L44" s="111"/>
      <c r="M44" s="111"/>
      <c r="T44" s="239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0"/>
      <c r="E45" s="253"/>
      <c r="G45" s="171"/>
      <c r="H45" s="188"/>
      <c r="I45" s="145"/>
      <c r="J45" s="111"/>
      <c r="K45" s="111"/>
      <c r="L45" s="111"/>
      <c r="M45" s="111"/>
      <c r="T45" s="239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0"/>
      <c r="E46" s="253"/>
      <c r="G46" s="171"/>
      <c r="H46" s="188"/>
      <c r="I46" s="145"/>
      <c r="J46" s="111"/>
      <c r="K46" s="111"/>
      <c r="L46" s="111"/>
      <c r="M46" s="111"/>
      <c r="T46" s="239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0"/>
      <c r="E47" s="253"/>
      <c r="G47" s="171"/>
      <c r="H47" s="188"/>
      <c r="I47" s="145"/>
      <c r="J47" s="111"/>
      <c r="K47" s="111"/>
      <c r="L47" s="111"/>
      <c r="M47" s="111"/>
      <c r="T47" s="239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0"/>
      <c r="E48" s="253"/>
      <c r="G48" s="171"/>
      <c r="H48" s="188"/>
      <c r="I48" s="145"/>
      <c r="J48" s="111"/>
      <c r="K48" s="111"/>
      <c r="L48" s="111"/>
      <c r="M48" s="111"/>
      <c r="T48" s="239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0"/>
      <c r="E49" s="253"/>
      <c r="G49" s="171"/>
      <c r="H49" s="188"/>
      <c r="I49" s="145"/>
      <c r="J49" s="111"/>
      <c r="K49" s="111"/>
      <c r="L49" s="111"/>
      <c r="M49" s="111"/>
      <c r="T49" s="239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0"/>
      <c r="E50" s="253"/>
      <c r="G50" s="171"/>
      <c r="H50" s="188"/>
      <c r="I50" s="145"/>
      <c r="J50" s="111"/>
      <c r="K50" s="111"/>
      <c r="L50" s="111"/>
      <c r="M50" s="111"/>
      <c r="T50" s="239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0"/>
      <c r="E51" s="253"/>
      <c r="G51" s="171"/>
      <c r="H51" s="188"/>
      <c r="I51" s="145"/>
      <c r="J51" s="111"/>
      <c r="K51" s="111"/>
      <c r="L51" s="111"/>
      <c r="M51" s="111"/>
      <c r="T51" s="239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1"/>
      <c r="E52" s="254"/>
      <c r="G52" s="171"/>
      <c r="H52" s="188"/>
      <c r="I52" s="145"/>
      <c r="J52" s="111"/>
      <c r="K52" s="111"/>
      <c r="L52" s="111"/>
      <c r="M52" s="111"/>
      <c r="T52" s="239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39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39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39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39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39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39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39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39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39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39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39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39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39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39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39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39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39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39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39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M26:M27"/>
    <mergeCell ref="N26:N27"/>
    <mergeCell ref="O26:O27"/>
    <mergeCell ref="P26:P27"/>
    <mergeCell ref="Q26:Q27"/>
    <mergeCell ref="E36:E52"/>
    <mergeCell ref="I26:I27"/>
    <mergeCell ref="J26:J27"/>
    <mergeCell ref="K26:K27"/>
    <mergeCell ref="L26:L27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I16:I19"/>
    <mergeCell ref="J16:S18"/>
    <mergeCell ref="D36:D52"/>
    <mergeCell ref="R11:R12"/>
    <mergeCell ref="S11:S12"/>
    <mergeCell ref="A1:E2"/>
    <mergeCell ref="I1:I4"/>
    <mergeCell ref="J1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1" customWidth="1"/>
    <col min="13" max="13" width="15.28515625" style="170" customWidth="1"/>
    <col min="14" max="14" width="16.28515625" style="170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39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6" customFormat="1">
      <c r="A1" s="226" t="s">
        <v>0</v>
      </c>
      <c r="B1" s="226"/>
      <c r="C1" s="226"/>
      <c r="D1" s="226"/>
      <c r="E1" s="226"/>
      <c r="G1" s="226" t="s">
        <v>1</v>
      </c>
      <c r="H1" s="226"/>
      <c r="I1" s="226"/>
      <c r="J1" s="226"/>
      <c r="K1" s="226"/>
      <c r="L1" s="171"/>
      <c r="M1" s="260" t="s">
        <v>2</v>
      </c>
      <c r="N1" s="260"/>
      <c r="O1" s="228"/>
      <c r="P1" s="228"/>
      <c r="Q1" s="263"/>
      <c r="R1" s="230" t="s">
        <v>3</v>
      </c>
      <c r="S1" s="231"/>
      <c r="T1" s="231"/>
      <c r="U1" s="231"/>
      <c r="V1" s="231"/>
      <c r="W1" s="231"/>
      <c r="X1" s="231"/>
      <c r="Y1" s="231"/>
      <c r="Z1" s="232"/>
      <c r="AA1" s="239"/>
      <c r="AB1" s="277"/>
      <c r="AC1" s="266" t="s">
        <v>4</v>
      </c>
      <c r="AD1" s="267"/>
      <c r="AE1" s="267"/>
      <c r="AF1" s="267"/>
      <c r="AG1" s="267"/>
      <c r="AH1" s="267"/>
      <c r="AI1" s="267"/>
      <c r="AJ1" s="267"/>
      <c r="AK1" s="268"/>
    </row>
    <row r="2" spans="1:37" s="146" customFormat="1">
      <c r="A2" s="226"/>
      <c r="B2" s="226"/>
      <c r="C2" s="226"/>
      <c r="D2" s="226"/>
      <c r="E2" s="226"/>
      <c r="G2" s="226"/>
      <c r="H2" s="226"/>
      <c r="I2" s="226"/>
      <c r="J2" s="226"/>
      <c r="K2" s="226"/>
      <c r="L2" s="171"/>
      <c r="M2" s="260"/>
      <c r="N2" s="260"/>
      <c r="O2" s="228"/>
      <c r="P2" s="228"/>
      <c r="Q2" s="264"/>
      <c r="R2" s="233"/>
      <c r="S2" s="234"/>
      <c r="T2" s="234"/>
      <c r="U2" s="234"/>
      <c r="V2" s="234"/>
      <c r="W2" s="234"/>
      <c r="X2" s="234"/>
      <c r="Y2" s="234"/>
      <c r="Z2" s="235"/>
      <c r="AA2" s="239"/>
      <c r="AB2" s="278"/>
      <c r="AC2" s="269"/>
      <c r="AD2" s="270"/>
      <c r="AE2" s="270"/>
      <c r="AF2" s="270"/>
      <c r="AG2" s="270"/>
      <c r="AH2" s="270"/>
      <c r="AI2" s="270"/>
      <c r="AJ2" s="270"/>
      <c r="AK2" s="271"/>
    </row>
    <row r="3" spans="1:37" s="79" customFormat="1" ht="26.25" customHeight="1">
      <c r="A3" s="240" t="s">
        <v>5</v>
      </c>
      <c r="B3" s="240"/>
      <c r="C3" s="240"/>
      <c r="D3" s="240"/>
      <c r="E3" s="240"/>
      <c r="G3" s="240" t="s">
        <v>5</v>
      </c>
      <c r="H3" s="240"/>
      <c r="I3" s="240"/>
      <c r="J3" s="240"/>
      <c r="K3" s="240"/>
      <c r="L3" s="171"/>
      <c r="M3" s="172"/>
      <c r="N3" s="172"/>
      <c r="O3" s="228"/>
      <c r="P3" s="228"/>
      <c r="Q3" s="264"/>
      <c r="R3" s="236"/>
      <c r="S3" s="237"/>
      <c r="T3" s="237"/>
      <c r="U3" s="237"/>
      <c r="V3" s="237"/>
      <c r="W3" s="237"/>
      <c r="X3" s="237"/>
      <c r="Y3" s="237"/>
      <c r="Z3" s="238"/>
      <c r="AA3" s="239"/>
      <c r="AB3" s="278"/>
      <c r="AC3" s="272"/>
      <c r="AD3" s="273"/>
      <c r="AE3" s="273"/>
      <c r="AF3" s="273"/>
      <c r="AG3" s="273"/>
      <c r="AH3" s="273"/>
      <c r="AI3" s="273"/>
      <c r="AJ3" s="273"/>
      <c r="AK3" s="274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2" t="s">
        <v>11</v>
      </c>
      <c r="N4" s="172"/>
      <c r="O4" s="228"/>
      <c r="P4" s="228"/>
      <c r="Q4" s="265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79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6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6">
        <v>1</v>
      </c>
      <c r="K5" s="129">
        <f>(J5/22)</f>
        <v>4.5454545454545456E-2</v>
      </c>
      <c r="M5" s="172">
        <v>3</v>
      </c>
      <c r="N5" s="172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2">
        <v>782</v>
      </c>
      <c r="V5" s="176">
        <v>782</v>
      </c>
      <c r="W5" s="176">
        <v>782</v>
      </c>
      <c r="X5" s="176">
        <v>782</v>
      </c>
      <c r="Y5" s="176">
        <v>782</v>
      </c>
      <c r="Z5" s="176">
        <v>782</v>
      </c>
      <c r="AB5" s="123" t="s">
        <v>22</v>
      </c>
      <c r="AC5" s="156">
        <v>725</v>
      </c>
      <c r="AD5" s="156">
        <v>725</v>
      </c>
      <c r="AE5" s="156">
        <v>725</v>
      </c>
      <c r="AF5" s="156">
        <v>725</v>
      </c>
      <c r="AG5" s="156">
        <v>725</v>
      </c>
      <c r="AH5" s="156">
        <v>725</v>
      </c>
      <c r="AI5" s="156">
        <v>725</v>
      </c>
      <c r="AJ5" s="156">
        <v>725</v>
      </c>
      <c r="AK5" s="156">
        <v>725</v>
      </c>
    </row>
    <row r="6" spans="1:37">
      <c r="A6" s="48" t="s">
        <v>23</v>
      </c>
      <c r="B6" s="48">
        <v>1</v>
      </c>
      <c r="C6" s="48">
        <v>3</v>
      </c>
      <c r="D6" s="176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6">
        <v>1</v>
      </c>
      <c r="K6" s="129">
        <f>(J6/22)</f>
        <v>4.5454545454545456E-2</v>
      </c>
      <c r="M6" s="172">
        <v>3</v>
      </c>
      <c r="N6" s="172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7">
        <f t="shared" ref="AC6:AK7" si="0">R6</f>
        <v>0.08</v>
      </c>
      <c r="AD6" s="157">
        <f t="shared" si="0"/>
        <v>0.25800000000000001</v>
      </c>
      <c r="AE6" s="157">
        <f t="shared" si="0"/>
        <v>8.1000000000000003E-2</v>
      </c>
      <c r="AF6" s="157">
        <f t="shared" si="0"/>
        <v>0.29299999999999998</v>
      </c>
      <c r="AG6" s="157">
        <f t="shared" si="0"/>
        <v>0.10299999999999999</v>
      </c>
      <c r="AH6" s="157">
        <f t="shared" si="0"/>
        <v>0.28000000000000003</v>
      </c>
      <c r="AI6" s="157">
        <f t="shared" si="0"/>
        <v>0.38</v>
      </c>
      <c r="AJ6" s="157">
        <f t="shared" si="0"/>
        <v>0.16700000000000001</v>
      </c>
      <c r="AK6" s="157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6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6">
        <v>1</v>
      </c>
      <c r="K7" s="129">
        <f>(J7/22)</f>
        <v>4.5454545454545456E-2</v>
      </c>
      <c r="M7" s="172">
        <v>5</v>
      </c>
      <c r="N7" s="172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7">
        <f t="shared" si="0"/>
        <v>0.8</v>
      </c>
      <c r="AD7" s="157">
        <f t="shared" si="0"/>
        <v>0.5</v>
      </c>
      <c r="AE7" s="157">
        <f t="shared" si="0"/>
        <v>0.49</v>
      </c>
      <c r="AF7" s="157">
        <f t="shared" si="0"/>
        <v>0.45</v>
      </c>
      <c r="AG7" s="157">
        <f t="shared" si="0"/>
        <v>0.15</v>
      </c>
      <c r="AH7" s="157">
        <f t="shared" si="0"/>
        <v>0.45</v>
      </c>
      <c r="AI7" s="157">
        <f t="shared" si="0"/>
        <v>0.5</v>
      </c>
      <c r="AJ7" s="157">
        <f t="shared" si="0"/>
        <v>1</v>
      </c>
      <c r="AK7" s="157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6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6">
        <v>1</v>
      </c>
      <c r="K8" s="129">
        <f>(J8/22)</f>
        <v>4.5454545454545456E-2</v>
      </c>
      <c r="M8" s="172">
        <v>5</v>
      </c>
      <c r="N8" s="172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3"/>
      <c r="W8" s="153">
        <f>E13</f>
        <v>0.1111111111111111</v>
      </c>
      <c r="X8" s="153">
        <f>E14</f>
        <v>5.5555555555555552E-2</v>
      </c>
      <c r="Y8" s="153">
        <f>E15</f>
        <v>0.1111111111111111</v>
      </c>
      <c r="Z8" s="153">
        <f>E17</f>
        <v>0.27777777777777779</v>
      </c>
      <c r="AB8" s="123" t="s">
        <v>27</v>
      </c>
      <c r="AC8" s="158">
        <f>K5</f>
        <v>4.5454545454545456E-2</v>
      </c>
      <c r="AD8" s="158">
        <f>K6</f>
        <v>4.5454545454545456E-2</v>
      </c>
      <c r="AE8" s="158">
        <f>K7</f>
        <v>4.5454545454545456E-2</v>
      </c>
      <c r="AF8" s="158">
        <f>K8</f>
        <v>4.5454545454545456E-2</v>
      </c>
      <c r="AG8" s="158">
        <f>K12</f>
        <v>9.0909090909090912E-2</v>
      </c>
      <c r="AH8" s="158">
        <f>K13</f>
        <v>0.13636363636363635</v>
      </c>
      <c r="AI8" s="158">
        <f>K14</f>
        <v>4.5454545454545456E-2</v>
      </c>
      <c r="AJ8" s="158">
        <v>0.1111</v>
      </c>
      <c r="AK8" s="158">
        <f>K17</f>
        <v>0.27272727272727271</v>
      </c>
    </row>
    <row r="9" spans="1:37" ht="30">
      <c r="A9" s="241" t="s">
        <v>28</v>
      </c>
      <c r="B9" s="241"/>
      <c r="C9" s="241"/>
      <c r="D9" s="241"/>
      <c r="E9" s="241"/>
      <c r="G9" s="241" t="s">
        <v>28</v>
      </c>
      <c r="H9" s="241"/>
      <c r="I9" s="241"/>
      <c r="J9" s="241"/>
      <c r="K9" s="241"/>
      <c r="M9" s="172"/>
      <c r="N9" s="172"/>
      <c r="Q9" s="123" t="s">
        <v>29</v>
      </c>
      <c r="R9" s="164">
        <f t="shared" ref="R9:Z9" si="1">R5*R6*R7*R8</f>
        <v>5.560888888888889</v>
      </c>
      <c r="S9" s="164">
        <f t="shared" si="1"/>
        <v>11.208666666666666</v>
      </c>
      <c r="T9" s="165">
        <f t="shared" si="1"/>
        <v>6.8972399999999991</v>
      </c>
      <c r="U9" s="166">
        <f t="shared" si="1"/>
        <v>22.912599999999998</v>
      </c>
      <c r="V9" s="164">
        <f t="shared" si="1"/>
        <v>0</v>
      </c>
      <c r="W9" s="164">
        <f t="shared" si="1"/>
        <v>10.948</v>
      </c>
      <c r="X9" s="164">
        <f t="shared" si="1"/>
        <v>8.2544444444444451</v>
      </c>
      <c r="Y9" s="164">
        <f t="shared" si="1"/>
        <v>14.510444444444444</v>
      </c>
      <c r="Z9" s="164">
        <f t="shared" si="1"/>
        <v>47.788888888888891</v>
      </c>
      <c r="AB9" s="123" t="s">
        <v>29</v>
      </c>
      <c r="AC9" s="167">
        <f t="shared" ref="AC9:AK9" si="2">AC5*AC6*AC7*AC8</f>
        <v>2.1090909090909093</v>
      </c>
      <c r="AD9" s="167">
        <f t="shared" si="2"/>
        <v>4.2511363636363644</v>
      </c>
      <c r="AE9" s="168">
        <f t="shared" si="2"/>
        <v>1.307965909090909</v>
      </c>
      <c r="AF9" s="169">
        <f t="shared" si="2"/>
        <v>4.3450568181818179</v>
      </c>
      <c r="AG9" s="167">
        <f t="shared" si="2"/>
        <v>1.0182954545454546</v>
      </c>
      <c r="AH9" s="167">
        <f t="shared" si="2"/>
        <v>12.456818181818182</v>
      </c>
      <c r="AI9" s="167">
        <f t="shared" si="2"/>
        <v>6.2613636363636367</v>
      </c>
      <c r="AJ9" s="167">
        <f t="shared" si="2"/>
        <v>13.451432500000001</v>
      </c>
      <c r="AK9" s="167">
        <f t="shared" si="2"/>
        <v>43.5</v>
      </c>
    </row>
    <row r="10" spans="1:37">
      <c r="A10" s="241"/>
      <c r="B10" s="241"/>
      <c r="C10" s="241"/>
      <c r="D10" s="241"/>
      <c r="E10" s="241"/>
      <c r="G10" s="241"/>
      <c r="H10" s="241"/>
      <c r="I10" s="241"/>
      <c r="J10" s="241"/>
      <c r="K10" s="241"/>
      <c r="M10" s="172"/>
      <c r="N10" s="172"/>
      <c r="Q10" s="123" t="s">
        <v>30</v>
      </c>
      <c r="R10" s="154">
        <f>'Colorectal Benefit'!$F$16</f>
        <v>16990.687825378518</v>
      </c>
      <c r="S10" s="154">
        <f>'Heart Disease Benefit'!$G$16</f>
        <v>5163.385482584883</v>
      </c>
      <c r="T10" s="154">
        <f>'Stroke Benefits'!$G$18</f>
        <v>26965.530436548026</v>
      </c>
      <c r="U10" s="154">
        <f>'Hypertension Benefit'!$G$29</f>
        <v>1744.5312207539419</v>
      </c>
      <c r="V10" s="154">
        <f>osteoporosis!$C$35</f>
        <v>54357.895797724443</v>
      </c>
      <c r="W10" s="154">
        <f>'Type 2 Diabeties'!$C$31</f>
        <v>29894.750187047826</v>
      </c>
      <c r="X10" s="154">
        <f>Obesity!$C$45</f>
        <v>22157.275351603847</v>
      </c>
      <c r="Y10" s="154">
        <f>'Foodborne illness'!$C$47</f>
        <v>24258.2987284423</v>
      </c>
      <c r="Z10" s="154">
        <f>'Data &amp; PV'!$G$12</f>
        <v>2539.229198</v>
      </c>
      <c r="AB10" s="123" t="s">
        <v>30</v>
      </c>
      <c r="AC10" s="159">
        <f t="shared" ref="AC10:AK10" si="3">R10</f>
        <v>16990.687825378518</v>
      </c>
      <c r="AD10" s="159">
        <f t="shared" si="3"/>
        <v>5163.385482584883</v>
      </c>
      <c r="AE10" s="159">
        <f t="shared" si="3"/>
        <v>26965.530436548026</v>
      </c>
      <c r="AF10" s="159">
        <f t="shared" si="3"/>
        <v>1744.5312207539419</v>
      </c>
      <c r="AG10" s="159">
        <f t="shared" si="3"/>
        <v>54357.895797724443</v>
      </c>
      <c r="AH10" s="159">
        <f t="shared" si="3"/>
        <v>29894.750187047826</v>
      </c>
      <c r="AI10" s="159">
        <f t="shared" si="3"/>
        <v>22157.275351603847</v>
      </c>
      <c r="AJ10" s="159">
        <f t="shared" si="3"/>
        <v>24258.2987284423</v>
      </c>
      <c r="AK10" s="159">
        <f t="shared" si="3"/>
        <v>2539.229198</v>
      </c>
    </row>
    <row r="11" spans="1:37">
      <c r="A11" s="241"/>
      <c r="B11" s="241"/>
      <c r="C11" s="241"/>
      <c r="D11" s="241"/>
      <c r="E11" s="241"/>
      <c r="G11" s="241"/>
      <c r="H11" s="241"/>
      <c r="I11" s="241"/>
      <c r="J11" s="241"/>
      <c r="K11" s="241"/>
      <c r="M11" s="172"/>
      <c r="N11" s="172"/>
      <c r="Q11" s="281" t="s">
        <v>31</v>
      </c>
      <c r="R11" s="242">
        <f t="shared" ref="R11:Z11" si="4">R9*R10</f>
        <v>94483.327142727125</v>
      </c>
      <c r="S11" s="242">
        <f t="shared" si="4"/>
        <v>57874.666745799754</v>
      </c>
      <c r="T11" s="244">
        <f t="shared" si="4"/>
        <v>185987.73514817649</v>
      </c>
      <c r="U11" s="246">
        <f t="shared" si="4"/>
        <v>39971.746048646761</v>
      </c>
      <c r="V11" s="242">
        <f t="shared" si="4"/>
        <v>0</v>
      </c>
      <c r="W11" s="242">
        <f t="shared" si="4"/>
        <v>327287.72504779964</v>
      </c>
      <c r="X11" s="242">
        <f t="shared" si="4"/>
        <v>182895.99843007221</v>
      </c>
      <c r="Y11" s="242">
        <f t="shared" si="4"/>
        <v>351998.6960157993</v>
      </c>
      <c r="Z11" s="242">
        <f t="shared" si="4"/>
        <v>121346.94200664444</v>
      </c>
      <c r="AB11" s="280" t="s">
        <v>31</v>
      </c>
      <c r="AC11" s="275">
        <f t="shared" ref="AC11:AK11" si="5">AC9*AC10</f>
        <v>35834.905231707424</v>
      </c>
      <c r="AD11" s="275">
        <f t="shared" si="5"/>
        <v>21950.255784488694</v>
      </c>
      <c r="AE11" s="275">
        <f t="shared" si="5"/>
        <v>35269.994531558114</v>
      </c>
      <c r="AF11" s="275">
        <f t="shared" si="5"/>
        <v>7580.0872752679652</v>
      </c>
      <c r="AG11" s="275">
        <f t="shared" si="5"/>
        <v>55352.398209478262</v>
      </c>
      <c r="AH11" s="275">
        <f t="shared" si="5"/>
        <v>372393.46767092985</v>
      </c>
      <c r="AI11" s="275">
        <f t="shared" si="5"/>
        <v>138734.75816742863</v>
      </c>
      <c r="AJ11" s="275">
        <f t="shared" si="5"/>
        <v>326308.86791047745</v>
      </c>
      <c r="AK11" s="275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6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6">
        <v>2</v>
      </c>
      <c r="K12" s="129">
        <f>(J12/22)</f>
        <v>9.0909090909090912E-2</v>
      </c>
      <c r="M12" s="172">
        <v>2</v>
      </c>
      <c r="N12" s="172"/>
      <c r="O12" s="112"/>
      <c r="P12" s="112"/>
      <c r="Q12" s="281"/>
      <c r="R12" s="243"/>
      <c r="S12" s="243"/>
      <c r="T12" s="245"/>
      <c r="U12" s="247"/>
      <c r="V12" s="241"/>
      <c r="W12" s="241"/>
      <c r="X12" s="241"/>
      <c r="Y12" s="241"/>
      <c r="Z12" s="241"/>
      <c r="AB12" s="280"/>
      <c r="AC12" s="276"/>
      <c r="AD12" s="276"/>
      <c r="AE12" s="276"/>
      <c r="AF12" s="276"/>
      <c r="AG12" s="276"/>
      <c r="AH12" s="276"/>
      <c r="AI12" s="276"/>
      <c r="AJ12" s="276"/>
      <c r="AK12" s="276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1"/>
      <c r="M13" s="172">
        <v>5</v>
      </c>
      <c r="N13" s="172"/>
      <c r="O13" s="112"/>
      <c r="P13" s="112"/>
      <c r="Q13" s="136" t="s">
        <v>33</v>
      </c>
      <c r="R13" s="155">
        <f>SUM(R11:Z12)</f>
        <v>1361846.8365856656</v>
      </c>
      <c r="S13" s="155"/>
      <c r="T13" s="155"/>
      <c r="U13" s="155"/>
      <c r="V13" s="155"/>
      <c r="W13" s="155"/>
      <c r="X13" s="155"/>
      <c r="Y13" s="155"/>
      <c r="Z13" s="174"/>
      <c r="AA13" s="239"/>
      <c r="AB13" s="119" t="s">
        <v>33</v>
      </c>
      <c r="AC13" s="160">
        <f>SUM(AC11:AK12)</f>
        <v>1103881.2048943364</v>
      </c>
      <c r="AD13" s="160"/>
      <c r="AE13" s="160"/>
      <c r="AF13" s="160"/>
      <c r="AG13" s="160"/>
      <c r="AH13" s="160"/>
      <c r="AI13" s="160"/>
      <c r="AJ13" s="160"/>
      <c r="AK13" s="160"/>
    </row>
    <row r="14" spans="1:37">
      <c r="A14" s="48" t="s">
        <v>18</v>
      </c>
      <c r="B14" s="48">
        <v>1</v>
      </c>
      <c r="C14" s="48">
        <v>1</v>
      </c>
      <c r="D14" s="176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6">
        <v>1</v>
      </c>
      <c r="K14" s="129">
        <f>(J14/22)</f>
        <v>4.5454545454545456E-2</v>
      </c>
      <c r="M14" s="172">
        <v>2</v>
      </c>
      <c r="N14" s="172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6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6">
        <v>8</v>
      </c>
      <c r="K15" s="129">
        <f>(J15/22)</f>
        <v>0.36363636363636365</v>
      </c>
      <c r="M15" s="172">
        <v>10</v>
      </c>
      <c r="N15" s="172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48" t="s">
        <v>35</v>
      </c>
      <c r="B16" s="248"/>
      <c r="C16" s="248"/>
      <c r="D16" s="248"/>
      <c r="E16" s="248"/>
      <c r="G16" s="248" t="s">
        <v>35</v>
      </c>
      <c r="H16" s="248"/>
      <c r="I16" s="248"/>
      <c r="J16" s="248"/>
      <c r="K16" s="248"/>
      <c r="M16" s="172"/>
      <c r="N16" s="172"/>
      <c r="Q16" s="263"/>
      <c r="R16" s="230" t="s">
        <v>3</v>
      </c>
      <c r="S16" s="231"/>
      <c r="T16" s="231"/>
      <c r="U16" s="231"/>
      <c r="V16" s="231"/>
      <c r="W16" s="231"/>
      <c r="X16" s="231"/>
      <c r="Y16" s="231"/>
      <c r="Z16" s="232"/>
      <c r="AB16" s="277"/>
      <c r="AC16" s="266" t="s">
        <v>4</v>
      </c>
      <c r="AD16" s="267"/>
      <c r="AE16" s="267"/>
      <c r="AF16" s="267"/>
      <c r="AG16" s="267"/>
      <c r="AH16" s="267"/>
      <c r="AI16" s="267"/>
      <c r="AJ16" s="267"/>
      <c r="AK16" s="268"/>
    </row>
    <row r="17" spans="1:37" ht="15" customHeight="1">
      <c r="A17" s="48" t="s">
        <v>20</v>
      </c>
      <c r="B17" s="48">
        <v>12</v>
      </c>
      <c r="C17" s="48">
        <v>17</v>
      </c>
      <c r="D17" s="176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6">
        <v>6</v>
      </c>
      <c r="K17" s="129">
        <f>(J17/22)</f>
        <v>0.27272727272727271</v>
      </c>
      <c r="M17" s="172">
        <v>11</v>
      </c>
      <c r="N17" s="172"/>
      <c r="O17" s="112"/>
      <c r="P17" s="112"/>
      <c r="Q17" s="264"/>
      <c r="R17" s="233"/>
      <c r="S17" s="234"/>
      <c r="T17" s="234"/>
      <c r="U17" s="234"/>
      <c r="V17" s="234"/>
      <c r="W17" s="234"/>
      <c r="X17" s="234"/>
      <c r="Y17" s="234"/>
      <c r="Z17" s="235"/>
      <c r="AB17" s="278"/>
      <c r="AC17" s="269"/>
      <c r="AD17" s="270"/>
      <c r="AE17" s="270"/>
      <c r="AF17" s="270"/>
      <c r="AG17" s="270"/>
      <c r="AH17" s="270"/>
      <c r="AI17" s="270"/>
      <c r="AJ17" s="270"/>
      <c r="AK17" s="271"/>
    </row>
    <row r="18" spans="1:37" s="79" customFormat="1" ht="15" customHeight="1">
      <c r="A18" s="173"/>
      <c r="B18" s="173"/>
      <c r="C18" s="261"/>
      <c r="D18" s="249" t="s">
        <v>36</v>
      </c>
      <c r="E18" s="252" t="s">
        <v>37</v>
      </c>
      <c r="J18" s="249" t="s">
        <v>38</v>
      </c>
      <c r="K18" s="252" t="s">
        <v>37</v>
      </c>
      <c r="L18" s="171"/>
      <c r="M18" s="172"/>
      <c r="N18" s="172"/>
      <c r="O18" s="111"/>
      <c r="P18" s="111"/>
      <c r="Q18" s="264"/>
      <c r="R18" s="236"/>
      <c r="S18" s="237"/>
      <c r="T18" s="237"/>
      <c r="U18" s="237"/>
      <c r="V18" s="237"/>
      <c r="W18" s="237"/>
      <c r="X18" s="237"/>
      <c r="Y18" s="237"/>
      <c r="Z18" s="238"/>
      <c r="AA18" s="239"/>
      <c r="AB18" s="278"/>
      <c r="AC18" s="272"/>
      <c r="AD18" s="273"/>
      <c r="AE18" s="273"/>
      <c r="AF18" s="273"/>
      <c r="AG18" s="273"/>
      <c r="AH18" s="273"/>
      <c r="AI18" s="273"/>
      <c r="AJ18" s="273"/>
      <c r="AK18" s="274"/>
    </row>
    <row r="19" spans="1:37" s="79" customFormat="1" ht="30" customHeight="1">
      <c r="C19" s="262"/>
      <c r="D19" s="250"/>
      <c r="E19" s="253"/>
      <c r="J19" s="250"/>
      <c r="K19" s="253"/>
      <c r="L19" s="171"/>
      <c r="M19" s="172"/>
      <c r="N19" s="172"/>
      <c r="O19" s="111"/>
      <c r="P19" s="111"/>
      <c r="Q19" s="265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39"/>
      <c r="AB19" s="279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62"/>
      <c r="D20" s="250"/>
      <c r="E20" s="253"/>
      <c r="J20" s="250"/>
      <c r="K20" s="253"/>
      <c r="L20" s="171"/>
      <c r="M20" s="172"/>
      <c r="N20" s="172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2">
        <v>782</v>
      </c>
      <c r="V20" s="176">
        <v>782</v>
      </c>
      <c r="W20" s="176">
        <v>782</v>
      </c>
      <c r="X20" s="176">
        <v>782</v>
      </c>
      <c r="Y20" s="176">
        <v>782</v>
      </c>
      <c r="Z20" s="176">
        <v>782</v>
      </c>
      <c r="AA20" s="239"/>
      <c r="AB20" s="123" t="s">
        <v>22</v>
      </c>
      <c r="AC20" s="156">
        <f t="shared" ref="AC20:AK20" si="6">AC5</f>
        <v>725</v>
      </c>
      <c r="AD20" s="156">
        <f t="shared" si="6"/>
        <v>725</v>
      </c>
      <c r="AE20" s="156">
        <f t="shared" si="6"/>
        <v>725</v>
      </c>
      <c r="AF20" s="156">
        <f t="shared" si="6"/>
        <v>725</v>
      </c>
      <c r="AG20" s="156">
        <f t="shared" si="6"/>
        <v>725</v>
      </c>
      <c r="AH20" s="156">
        <f t="shared" si="6"/>
        <v>725</v>
      </c>
      <c r="AI20" s="156">
        <f t="shared" si="6"/>
        <v>725</v>
      </c>
      <c r="AJ20" s="156">
        <f t="shared" si="6"/>
        <v>725</v>
      </c>
      <c r="AK20" s="156">
        <f t="shared" si="6"/>
        <v>725</v>
      </c>
    </row>
    <row r="21" spans="1:37" s="79" customFormat="1" ht="30" customHeight="1">
      <c r="C21" s="262"/>
      <c r="D21" s="250"/>
      <c r="E21" s="253"/>
      <c r="J21" s="250"/>
      <c r="K21" s="253"/>
      <c r="L21" s="171"/>
      <c r="M21" s="172"/>
      <c r="N21" s="172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39"/>
      <c r="AB21" s="123" t="s">
        <v>24</v>
      </c>
      <c r="AC21" s="157">
        <f t="shared" ref="AC21:AK21" si="7">AC6</f>
        <v>0.08</v>
      </c>
      <c r="AD21" s="157">
        <f t="shared" si="7"/>
        <v>0.25800000000000001</v>
      </c>
      <c r="AE21" s="157">
        <f t="shared" si="7"/>
        <v>8.1000000000000003E-2</v>
      </c>
      <c r="AF21" s="157">
        <f t="shared" si="7"/>
        <v>0.29299999999999998</v>
      </c>
      <c r="AG21" s="157">
        <f t="shared" si="7"/>
        <v>0.10299999999999999</v>
      </c>
      <c r="AH21" s="157">
        <f t="shared" si="7"/>
        <v>0.28000000000000003</v>
      </c>
      <c r="AI21" s="157">
        <f t="shared" si="7"/>
        <v>0.38</v>
      </c>
      <c r="AJ21" s="157">
        <f t="shared" si="7"/>
        <v>0.16700000000000001</v>
      </c>
      <c r="AK21" s="157">
        <f t="shared" si="7"/>
        <v>1</v>
      </c>
    </row>
    <row r="22" spans="1:37" s="79" customFormat="1" ht="30" customHeight="1">
      <c r="C22" s="262"/>
      <c r="D22" s="250"/>
      <c r="E22" s="253"/>
      <c r="J22" s="250"/>
      <c r="K22" s="253"/>
      <c r="L22" s="171"/>
      <c r="M22" s="172"/>
      <c r="N22" s="172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39"/>
      <c r="AB22" s="123" t="s">
        <v>26</v>
      </c>
      <c r="AC22" s="157">
        <f t="shared" ref="AC22:AK22" si="8">AC7</f>
        <v>0.8</v>
      </c>
      <c r="AD22" s="157">
        <f t="shared" si="8"/>
        <v>0.5</v>
      </c>
      <c r="AE22" s="157">
        <f t="shared" si="8"/>
        <v>0.49</v>
      </c>
      <c r="AF22" s="157">
        <f t="shared" si="8"/>
        <v>0.45</v>
      </c>
      <c r="AG22" s="157">
        <f t="shared" si="8"/>
        <v>0.15</v>
      </c>
      <c r="AH22" s="157">
        <f t="shared" si="8"/>
        <v>0.45</v>
      </c>
      <c r="AI22" s="157">
        <f t="shared" si="8"/>
        <v>0.5</v>
      </c>
      <c r="AJ22" s="157">
        <f t="shared" si="8"/>
        <v>1</v>
      </c>
      <c r="AK22" s="157">
        <f t="shared" si="8"/>
        <v>0.22</v>
      </c>
    </row>
    <row r="23" spans="1:37" s="79" customFormat="1" ht="30" customHeight="1">
      <c r="C23" s="262"/>
      <c r="D23" s="250"/>
      <c r="E23" s="253"/>
      <c r="J23" s="250"/>
      <c r="K23" s="253"/>
      <c r="L23" s="171"/>
      <c r="M23" s="172"/>
      <c r="N23" s="172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3">
        <f t="shared" si="9"/>
        <v>0</v>
      </c>
      <c r="W23" s="153">
        <f t="shared" si="9"/>
        <v>0.1111111111111111</v>
      </c>
      <c r="X23" s="153">
        <f t="shared" si="9"/>
        <v>5.5555555555555552E-2</v>
      </c>
      <c r="Y23" s="153">
        <f t="shared" si="9"/>
        <v>0.1111111111111111</v>
      </c>
      <c r="Z23" s="153">
        <f t="shared" si="9"/>
        <v>0.27777777777777779</v>
      </c>
      <c r="AA23" s="239"/>
      <c r="AB23" s="123" t="s">
        <v>27</v>
      </c>
      <c r="AC23" s="158">
        <f t="shared" ref="AC23:AK23" si="10">AC8</f>
        <v>4.5454545454545456E-2</v>
      </c>
      <c r="AD23" s="158">
        <f t="shared" si="10"/>
        <v>4.5454545454545456E-2</v>
      </c>
      <c r="AE23" s="158">
        <f t="shared" si="10"/>
        <v>4.5454545454545456E-2</v>
      </c>
      <c r="AF23" s="158">
        <f t="shared" si="10"/>
        <v>4.5454545454545456E-2</v>
      </c>
      <c r="AG23" s="158">
        <f t="shared" si="10"/>
        <v>9.0909090909090912E-2</v>
      </c>
      <c r="AH23" s="158">
        <f t="shared" si="10"/>
        <v>0.13636363636363635</v>
      </c>
      <c r="AI23" s="158">
        <f t="shared" si="10"/>
        <v>4.5454545454545456E-2</v>
      </c>
      <c r="AJ23" s="158">
        <f t="shared" si="10"/>
        <v>0.1111</v>
      </c>
      <c r="AK23" s="158">
        <f t="shared" si="10"/>
        <v>0.27272727272727271</v>
      </c>
    </row>
    <row r="24" spans="1:37" s="79" customFormat="1" ht="30" customHeight="1">
      <c r="C24" s="262"/>
      <c r="D24" s="250"/>
      <c r="E24" s="253"/>
      <c r="J24" s="250"/>
      <c r="K24" s="253"/>
      <c r="L24" s="171"/>
      <c r="M24" s="172"/>
      <c r="N24" s="172"/>
      <c r="O24" s="111"/>
      <c r="P24" s="111"/>
      <c r="Q24" s="123" t="s">
        <v>29</v>
      </c>
      <c r="R24" s="164">
        <f t="shared" ref="R24:Z24" si="11">R9</f>
        <v>5.560888888888889</v>
      </c>
      <c r="S24" s="164">
        <f t="shared" si="11"/>
        <v>11.208666666666666</v>
      </c>
      <c r="T24" s="165">
        <f t="shared" si="11"/>
        <v>6.8972399999999991</v>
      </c>
      <c r="U24" s="166">
        <f t="shared" si="11"/>
        <v>22.912599999999998</v>
      </c>
      <c r="V24" s="164">
        <f t="shared" si="11"/>
        <v>0</v>
      </c>
      <c r="W24" s="164">
        <f t="shared" si="11"/>
        <v>10.948</v>
      </c>
      <c r="X24" s="164">
        <f t="shared" si="11"/>
        <v>8.2544444444444451</v>
      </c>
      <c r="Y24" s="164">
        <f t="shared" si="11"/>
        <v>14.510444444444444</v>
      </c>
      <c r="Z24" s="164">
        <f t="shared" si="11"/>
        <v>47.788888888888891</v>
      </c>
      <c r="AA24" s="239"/>
      <c r="AB24" s="123" t="s">
        <v>29</v>
      </c>
      <c r="AC24" s="167">
        <f t="shared" ref="AC24:AK24" si="12">AC9</f>
        <v>2.1090909090909093</v>
      </c>
      <c r="AD24" s="167">
        <f t="shared" si="12"/>
        <v>4.2511363636363644</v>
      </c>
      <c r="AE24" s="168">
        <f t="shared" si="12"/>
        <v>1.307965909090909</v>
      </c>
      <c r="AF24" s="169">
        <f t="shared" si="12"/>
        <v>4.3450568181818179</v>
      </c>
      <c r="AG24" s="167">
        <f t="shared" si="12"/>
        <v>1.0182954545454546</v>
      </c>
      <c r="AH24" s="167">
        <f t="shared" si="12"/>
        <v>12.456818181818182</v>
      </c>
      <c r="AI24" s="167">
        <f t="shared" si="12"/>
        <v>6.2613636363636367</v>
      </c>
      <c r="AJ24" s="167">
        <f t="shared" si="12"/>
        <v>13.451432500000001</v>
      </c>
      <c r="AK24" s="167">
        <f t="shared" si="12"/>
        <v>43.5</v>
      </c>
    </row>
    <row r="25" spans="1:37" s="79" customFormat="1" ht="30" customHeight="1">
      <c r="C25" s="262"/>
      <c r="D25" s="250"/>
      <c r="E25" s="253"/>
      <c r="J25" s="250"/>
      <c r="K25" s="253"/>
      <c r="L25" s="171"/>
      <c r="M25" s="172"/>
      <c r="N25" s="172"/>
      <c r="O25" s="111"/>
      <c r="P25" s="111"/>
      <c r="Q25" s="123" t="s">
        <v>39</v>
      </c>
      <c r="R25" s="155">
        <f>'Colorectal Benefit'!$R$15</f>
        <v>1416.173513037204</v>
      </c>
      <c r="S25" s="155">
        <f>'Heart Disease Benefit'!$S$16</f>
        <v>1191.4603282047069</v>
      </c>
      <c r="T25" s="155">
        <f>'Stroke Benefits'!$U$18</f>
        <v>4423.1591621347452</v>
      </c>
      <c r="U25" s="155">
        <f>'Hypertension Benefit'!$S$29</f>
        <v>5029.5885513802568</v>
      </c>
      <c r="V25" s="155">
        <f>osteoporosis!$M$22</f>
        <v>1591.5294686921341</v>
      </c>
      <c r="W25" s="155">
        <f>'Type 2 Diabeties'!$Q$18</f>
        <v>1499.2708266935911</v>
      </c>
      <c r="X25" s="155">
        <f>Obesity!$N$32</f>
        <v>2082.8085268126674</v>
      </c>
      <c r="Y25" s="155">
        <f>'Foodborne illness'!$M$34</f>
        <v>1055.9286788366394</v>
      </c>
      <c r="Z25" s="174">
        <v>0</v>
      </c>
      <c r="AA25" s="239"/>
      <c r="AB25" s="123" t="s">
        <v>30</v>
      </c>
      <c r="AC25" s="155">
        <f>'Colorectal Benefit'!$R$15</f>
        <v>1416.173513037204</v>
      </c>
      <c r="AD25" s="155">
        <f>'Heart Disease Benefit'!$S$16</f>
        <v>1191.4603282047069</v>
      </c>
      <c r="AE25" s="155">
        <f>'Stroke Benefits'!$U$18</f>
        <v>4423.1591621347452</v>
      </c>
      <c r="AF25" s="155">
        <f>'Hypertension Benefit'!$S$29</f>
        <v>5029.5885513802568</v>
      </c>
      <c r="AG25" s="155">
        <f>osteoporosis!$M$22</f>
        <v>1591.5294686921341</v>
      </c>
      <c r="AH25" s="155">
        <f>'Type 2 Diabeties'!$Q$18</f>
        <v>1499.2708266935911</v>
      </c>
      <c r="AI25" s="155">
        <f>Obesity!$N$32</f>
        <v>2082.8085268126674</v>
      </c>
      <c r="AJ25" s="155">
        <f>'Foodborne illness'!$M$34</f>
        <v>1055.9286788366394</v>
      </c>
      <c r="AK25" s="174"/>
    </row>
    <row r="26" spans="1:37" s="79" customFormat="1">
      <c r="C26" s="262"/>
      <c r="D26" s="250"/>
      <c r="E26" s="253"/>
      <c r="J26" s="250"/>
      <c r="K26" s="253"/>
      <c r="L26" s="171"/>
      <c r="M26" s="172"/>
      <c r="N26" s="172"/>
      <c r="O26" s="111"/>
      <c r="P26" s="111"/>
      <c r="Q26" s="281" t="s">
        <v>40</v>
      </c>
      <c r="R26" s="224">
        <f t="shared" ref="R26:Z26" si="13">R24*R25</f>
        <v>7875.1835533873318</v>
      </c>
      <c r="S26" s="224">
        <f t="shared" si="13"/>
        <v>13354.681665403825</v>
      </c>
      <c r="T26" s="256">
        <f t="shared" si="13"/>
        <v>30507.590299442247</v>
      </c>
      <c r="U26" s="258">
        <f t="shared" si="13"/>
        <v>115240.95064235527</v>
      </c>
      <c r="V26" s="224">
        <f t="shared" si="13"/>
        <v>0</v>
      </c>
      <c r="W26" s="224">
        <f t="shared" si="13"/>
        <v>16414.017010641437</v>
      </c>
      <c r="X26" s="224">
        <f t="shared" si="13"/>
        <v>17192.427272990342</v>
      </c>
      <c r="Y26" s="224">
        <f t="shared" si="13"/>
        <v>15321.994431554675</v>
      </c>
      <c r="Z26" s="224">
        <f t="shared" si="13"/>
        <v>0</v>
      </c>
      <c r="AA26" s="239"/>
      <c r="AB26" s="280" t="s">
        <v>31</v>
      </c>
      <c r="AC26" s="275">
        <f t="shared" ref="AC26:AK26" si="14">AC24*AC25</f>
        <v>2986.8386820421033</v>
      </c>
      <c r="AD26" s="275">
        <f t="shared" si="14"/>
        <v>5065.0603270611473</v>
      </c>
      <c r="AE26" s="275">
        <f t="shared" si="14"/>
        <v>5785.3413945553557</v>
      </c>
      <c r="AF26" s="275">
        <f t="shared" si="14"/>
        <v>21853.848027823999</v>
      </c>
      <c r="AG26" s="275">
        <f t="shared" si="14"/>
        <v>1620.6472237443425</v>
      </c>
      <c r="AH26" s="275">
        <f t="shared" si="14"/>
        <v>18676.144093426301</v>
      </c>
      <c r="AI26" s="275">
        <f t="shared" si="14"/>
        <v>13041.221571292952</v>
      </c>
      <c r="AJ26" s="275">
        <f t="shared" si="14"/>
        <v>14203.753348185235</v>
      </c>
      <c r="AK26" s="275">
        <f t="shared" si="14"/>
        <v>0</v>
      </c>
    </row>
    <row r="27" spans="1:37" s="79" customFormat="1">
      <c r="D27" s="250"/>
      <c r="E27" s="253"/>
      <c r="J27" s="250"/>
      <c r="K27" s="253"/>
      <c r="L27" s="171"/>
      <c r="M27" s="172"/>
      <c r="N27" s="172"/>
      <c r="O27" s="111"/>
      <c r="P27" s="111"/>
      <c r="Q27" s="281"/>
      <c r="R27" s="225"/>
      <c r="S27" s="225"/>
      <c r="T27" s="257"/>
      <c r="U27" s="259"/>
      <c r="V27" s="225"/>
      <c r="W27" s="225"/>
      <c r="X27" s="225"/>
      <c r="Y27" s="225"/>
      <c r="Z27" s="225"/>
      <c r="AA27" s="239"/>
      <c r="AB27" s="280"/>
      <c r="AC27" s="276"/>
      <c r="AD27" s="276"/>
      <c r="AE27" s="276"/>
      <c r="AF27" s="276"/>
      <c r="AG27" s="276"/>
      <c r="AH27" s="276"/>
      <c r="AI27" s="276"/>
      <c r="AJ27" s="276"/>
      <c r="AK27" s="276"/>
    </row>
    <row r="28" spans="1:37" s="79" customFormat="1">
      <c r="D28" s="250"/>
      <c r="E28" s="253"/>
      <c r="J28" s="250"/>
      <c r="K28" s="253"/>
      <c r="L28" s="171"/>
      <c r="M28" s="172"/>
      <c r="N28" s="172"/>
      <c r="O28" s="111"/>
      <c r="P28" s="111"/>
      <c r="Q28" s="136" t="s">
        <v>41</v>
      </c>
      <c r="R28" s="155">
        <f>SUM(R26:Z27)</f>
        <v>215906.8448757751</v>
      </c>
      <c r="S28" s="155"/>
      <c r="T28" s="155"/>
      <c r="U28" s="155"/>
      <c r="V28" s="155"/>
      <c r="W28" s="155"/>
      <c r="X28" s="155"/>
      <c r="Y28" s="155"/>
      <c r="Z28" s="174"/>
      <c r="AA28" s="239"/>
      <c r="AB28" s="119" t="s">
        <v>41</v>
      </c>
      <c r="AC28" s="160">
        <f>SUM(AC26:AK27)</f>
        <v>83232.854668131433</v>
      </c>
      <c r="AD28" s="160"/>
      <c r="AE28" s="160"/>
      <c r="AF28" s="160"/>
      <c r="AG28" s="160"/>
      <c r="AH28" s="160"/>
      <c r="AI28" s="160"/>
      <c r="AJ28" s="160"/>
      <c r="AK28" s="160"/>
    </row>
    <row r="29" spans="1:37" s="79" customFormat="1">
      <c r="D29" s="250"/>
      <c r="E29" s="253"/>
      <c r="J29" s="250"/>
      <c r="K29" s="253"/>
      <c r="L29" s="171"/>
      <c r="M29" s="172"/>
      <c r="N29" s="172"/>
      <c r="O29" s="111"/>
      <c r="P29" s="111"/>
      <c r="Q29" s="145"/>
      <c r="R29" s="111"/>
      <c r="S29" s="111"/>
      <c r="T29" s="111"/>
      <c r="U29" s="111"/>
      <c r="AA29" s="239"/>
    </row>
    <row r="30" spans="1:37" s="79" customFormat="1">
      <c r="D30" s="250"/>
      <c r="E30" s="253"/>
      <c r="J30" s="250"/>
      <c r="K30" s="253"/>
      <c r="L30" s="171"/>
      <c r="M30" s="172"/>
      <c r="N30" s="172"/>
      <c r="O30" s="111"/>
      <c r="P30" s="111"/>
      <c r="Q30" s="145"/>
      <c r="R30" s="111"/>
      <c r="S30" s="111"/>
      <c r="T30" s="111"/>
      <c r="U30" s="111"/>
      <c r="AA30" s="239"/>
    </row>
    <row r="31" spans="1:37" s="79" customFormat="1">
      <c r="D31" s="250"/>
      <c r="E31" s="253"/>
      <c r="J31" s="250"/>
      <c r="K31" s="253"/>
      <c r="L31" s="171"/>
      <c r="M31" s="172"/>
      <c r="N31" s="172"/>
      <c r="O31" s="111"/>
      <c r="P31" s="111"/>
      <c r="Q31" s="145"/>
      <c r="R31" s="111"/>
      <c r="S31" s="111"/>
      <c r="T31" s="111"/>
      <c r="U31" s="111"/>
      <c r="AA31" s="239"/>
    </row>
    <row r="32" spans="1:37" s="79" customFormat="1">
      <c r="D32" s="250"/>
      <c r="E32" s="253"/>
      <c r="J32" s="250"/>
      <c r="K32" s="253"/>
      <c r="L32" s="171"/>
      <c r="M32" s="172"/>
      <c r="N32" s="172"/>
      <c r="O32" s="111"/>
      <c r="P32" s="111"/>
      <c r="Q32" s="145"/>
      <c r="R32" s="111"/>
      <c r="S32" s="111"/>
      <c r="T32" s="111"/>
      <c r="U32" s="111"/>
      <c r="AA32" s="239"/>
    </row>
    <row r="33" spans="4:27" s="79" customFormat="1">
      <c r="D33" s="250"/>
      <c r="E33" s="253"/>
      <c r="J33" s="250"/>
      <c r="K33" s="253"/>
      <c r="L33" s="171"/>
      <c r="M33" s="172"/>
      <c r="N33" s="172"/>
      <c r="O33" s="111"/>
      <c r="P33" s="111"/>
      <c r="Q33" s="145"/>
      <c r="R33" s="111" t="s">
        <v>3</v>
      </c>
      <c r="S33" s="111" t="s">
        <v>4</v>
      </c>
      <c r="T33" s="111"/>
      <c r="U33" s="111" t="s">
        <v>119</v>
      </c>
      <c r="AA33" s="239"/>
    </row>
    <row r="34" spans="4:27" s="79" customFormat="1">
      <c r="D34" s="251"/>
      <c r="E34" s="254"/>
      <c r="J34" s="251"/>
      <c r="K34" s="254"/>
      <c r="L34" s="171"/>
      <c r="M34" s="172"/>
      <c r="N34" s="172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39"/>
    </row>
    <row r="35" spans="4:27" s="79" customFormat="1">
      <c r="D35" s="108"/>
      <c r="E35" s="144"/>
      <c r="L35" s="171"/>
      <c r="M35" s="172"/>
      <c r="N35" s="172"/>
      <c r="O35" s="111"/>
      <c r="P35" s="111"/>
      <c r="Q35" s="145" t="s">
        <v>43</v>
      </c>
      <c r="R35" s="161">
        <f>$R$13</f>
        <v>1361846.8365856656</v>
      </c>
      <c r="S35" s="161">
        <f>$AC$13</f>
        <v>1103881.2048943364</v>
      </c>
      <c r="T35" s="111"/>
      <c r="U35" s="111"/>
      <c r="AA35" s="239"/>
    </row>
    <row r="36" spans="4:27" s="79" customFormat="1">
      <c r="D36" s="108"/>
      <c r="E36" s="144"/>
      <c r="L36" s="171"/>
      <c r="M36" s="172"/>
      <c r="N36" s="172"/>
      <c r="O36" s="111"/>
      <c r="P36" s="111"/>
      <c r="Q36" s="145" t="s">
        <v>44</v>
      </c>
      <c r="R36" s="161">
        <f>(R35/R34)</f>
        <v>1741.4921183959918</v>
      </c>
      <c r="S36" s="161">
        <f>(S35/S34)</f>
        <v>1522.5947653714984</v>
      </c>
      <c r="T36" s="111"/>
      <c r="U36" s="111"/>
      <c r="AA36" s="239"/>
    </row>
    <row r="37" spans="4:27" s="79" customFormat="1">
      <c r="D37" s="108"/>
      <c r="E37" s="144"/>
      <c r="L37" s="171"/>
      <c r="M37" s="172"/>
      <c r="N37" s="172"/>
      <c r="O37" s="111"/>
      <c r="P37" s="111"/>
      <c r="Q37" s="145" t="s">
        <v>45</v>
      </c>
      <c r="R37" s="161">
        <f>$R$28</f>
        <v>215906.8448757751</v>
      </c>
      <c r="S37" s="161">
        <f>$AC$28</f>
        <v>83232.854668131433</v>
      </c>
      <c r="T37" s="111"/>
      <c r="U37" s="111"/>
      <c r="AA37" s="239"/>
    </row>
    <row r="38" spans="4:27" s="79" customFormat="1">
      <c r="D38" s="108"/>
      <c r="E38" s="144"/>
      <c r="L38" s="171"/>
      <c r="M38" s="172"/>
      <c r="N38" s="172"/>
      <c r="O38" s="111"/>
      <c r="P38" s="111"/>
      <c r="Q38" s="145" t="s">
        <v>46</v>
      </c>
      <c r="R38" s="161">
        <f>(R37/R34)</f>
        <v>276.09570955981474</v>
      </c>
      <c r="S38" s="161">
        <f>S37/S34</f>
        <v>114.80393747328473</v>
      </c>
      <c r="T38" s="111"/>
      <c r="U38" s="111"/>
      <c r="AA38" s="239"/>
    </row>
    <row r="39" spans="4:27" s="79" customFormat="1">
      <c r="D39" s="108"/>
      <c r="E39" s="144"/>
      <c r="L39" s="171"/>
      <c r="M39" s="172"/>
      <c r="N39" s="172"/>
      <c r="O39" s="111"/>
      <c r="P39" s="111"/>
      <c r="Q39" s="145" t="s">
        <v>47</v>
      </c>
      <c r="R39" s="161">
        <f>SUM(R35,R37)</f>
        <v>1577753.6814614406</v>
      </c>
      <c r="S39" s="161">
        <f>SUM(S35,S37)</f>
        <v>1187114.0595624677</v>
      </c>
      <c r="T39" s="111"/>
      <c r="U39" s="111"/>
      <c r="AA39" s="239"/>
    </row>
    <row r="40" spans="4:27" s="79" customFormat="1">
      <c r="D40" s="108"/>
      <c r="E40" s="144"/>
      <c r="L40" s="171"/>
      <c r="M40" s="172"/>
      <c r="N40" s="172"/>
      <c r="O40" s="111"/>
      <c r="P40" s="111"/>
      <c r="Q40" s="145" t="s">
        <v>48</v>
      </c>
      <c r="R40" s="161">
        <f>R39/R34</f>
        <v>2017.5878279558065</v>
      </c>
      <c r="S40" s="161">
        <f>S39/S34</f>
        <v>1637.398702844783</v>
      </c>
      <c r="T40" s="111"/>
      <c r="U40" s="161">
        <f>R40+S40</f>
        <v>3654.9865308005892</v>
      </c>
      <c r="AA40" s="239"/>
    </row>
    <row r="41" spans="4:27" s="79" customFormat="1">
      <c r="D41" s="108"/>
      <c r="E41" s="144"/>
      <c r="L41" s="171"/>
      <c r="M41" s="172"/>
      <c r="N41" s="172"/>
      <c r="O41" s="111"/>
      <c r="P41" s="111"/>
      <c r="Q41" s="145" t="s">
        <v>49</v>
      </c>
      <c r="R41" s="162">
        <v>572460.6</v>
      </c>
      <c r="S41" s="162">
        <v>1249675.22</v>
      </c>
      <c r="T41" s="111"/>
      <c r="U41" s="111"/>
      <c r="AA41" s="239"/>
    </row>
    <row r="42" spans="4:27" s="79" customFormat="1">
      <c r="D42" s="108"/>
      <c r="E42" s="144"/>
      <c r="L42" s="171"/>
      <c r="M42" s="172"/>
      <c r="N42" s="172"/>
      <c r="O42" s="111"/>
      <c r="P42" s="111"/>
      <c r="Q42" s="145" t="s">
        <v>50</v>
      </c>
      <c r="R42" s="162">
        <f>R41/R34</f>
        <v>732.04680306905368</v>
      </c>
      <c r="S42" s="162">
        <f>S41/S34</f>
        <v>1723.6899586206896</v>
      </c>
      <c r="T42" s="111"/>
      <c r="U42" s="162">
        <f>R42+S42</f>
        <v>2455.7367616897432</v>
      </c>
      <c r="AA42" s="239"/>
    </row>
    <row r="43" spans="4:27" s="79" customFormat="1">
      <c r="D43" s="108"/>
      <c r="E43" s="144"/>
      <c r="L43" s="171"/>
      <c r="M43" s="172"/>
      <c r="N43" s="172"/>
      <c r="O43" s="111"/>
      <c r="P43" s="111"/>
      <c r="Q43" s="145" t="s">
        <v>51</v>
      </c>
      <c r="R43" s="163">
        <f>R40/R42</f>
        <v>2.756091303858188</v>
      </c>
      <c r="S43" s="163">
        <f>S40/S42</f>
        <v>0.94993806435760786</v>
      </c>
      <c r="T43" s="111"/>
      <c r="U43" s="111">
        <f>U40/U42</f>
        <v>1.4883462217203063</v>
      </c>
      <c r="AA43" s="239"/>
    </row>
    <row r="44" spans="4:27" s="79" customFormat="1">
      <c r="D44" s="108"/>
      <c r="E44" s="144"/>
      <c r="L44" s="171"/>
      <c r="M44" s="172"/>
      <c r="N44" s="172"/>
      <c r="O44" s="111"/>
      <c r="P44" s="111"/>
      <c r="Q44" s="145"/>
      <c r="R44" s="111"/>
      <c r="S44" s="111"/>
      <c r="T44" s="111"/>
      <c r="U44" s="111"/>
      <c r="AA44" s="239"/>
    </row>
    <row r="45" spans="4:27" s="79" customFormat="1">
      <c r="D45" s="108"/>
      <c r="E45" s="144"/>
      <c r="L45" s="171"/>
      <c r="M45" s="172"/>
      <c r="N45" s="172"/>
      <c r="O45" s="111"/>
      <c r="P45" s="111"/>
      <c r="Q45" s="145"/>
      <c r="R45" s="111"/>
      <c r="S45" s="111"/>
      <c r="T45" s="111"/>
      <c r="U45" s="111"/>
      <c r="AA45" s="239"/>
    </row>
    <row r="46" spans="4:27" s="79" customFormat="1">
      <c r="D46" s="108"/>
      <c r="E46" s="144"/>
      <c r="L46" s="171"/>
      <c r="M46" s="172"/>
      <c r="N46" s="172"/>
      <c r="O46" s="111"/>
      <c r="P46" s="111"/>
      <c r="Q46" s="145"/>
      <c r="R46" s="111"/>
      <c r="S46" s="111"/>
      <c r="T46" s="111"/>
      <c r="U46" s="111"/>
      <c r="AA46" s="239"/>
    </row>
    <row r="47" spans="4:27" s="79" customFormat="1">
      <c r="D47" s="108"/>
      <c r="E47" s="144"/>
      <c r="L47" s="171"/>
      <c r="M47" s="172"/>
      <c r="N47" s="172"/>
      <c r="O47" s="111"/>
      <c r="P47" s="111"/>
      <c r="Q47" s="145"/>
      <c r="R47" s="111"/>
      <c r="S47" s="111"/>
      <c r="T47" s="111"/>
      <c r="U47" s="111"/>
      <c r="AA47" s="239"/>
    </row>
    <row r="48" spans="4:27" s="79" customFormat="1">
      <c r="D48" s="108"/>
      <c r="E48" s="144"/>
      <c r="L48" s="171"/>
      <c r="M48" s="172"/>
      <c r="N48" s="172"/>
      <c r="O48" s="111"/>
      <c r="P48" s="111"/>
      <c r="Q48" s="145"/>
      <c r="R48" s="111"/>
      <c r="S48" s="111"/>
      <c r="T48" s="111"/>
      <c r="U48" s="111"/>
      <c r="AA48" s="239"/>
    </row>
    <row r="49" spans="4:27" s="79" customFormat="1">
      <c r="D49" s="108"/>
      <c r="E49" s="144"/>
      <c r="L49" s="171"/>
      <c r="M49" s="172"/>
      <c r="N49" s="172"/>
      <c r="O49" s="111"/>
      <c r="P49" s="111"/>
      <c r="Q49" s="145"/>
      <c r="R49" s="111"/>
      <c r="S49" s="111"/>
      <c r="T49" s="111"/>
      <c r="U49" s="111"/>
      <c r="AA49" s="239"/>
    </row>
    <row r="50" spans="4:27" s="79" customFormat="1">
      <c r="D50" s="108"/>
      <c r="E50" s="144"/>
      <c r="L50" s="171"/>
      <c r="M50" s="172"/>
      <c r="N50" s="172"/>
      <c r="O50" s="111"/>
      <c r="P50" s="111"/>
      <c r="Q50" s="145"/>
      <c r="R50" s="111"/>
      <c r="S50" s="111"/>
      <c r="T50" s="111"/>
      <c r="U50" s="111"/>
      <c r="AA50" s="239"/>
    </row>
    <row r="51" spans="4:27" s="79" customFormat="1">
      <c r="D51" s="108"/>
      <c r="E51" s="144"/>
      <c r="L51" s="171"/>
      <c r="M51" s="172"/>
      <c r="N51" s="172"/>
      <c r="O51" s="111"/>
      <c r="P51" s="111"/>
      <c r="Q51" s="145"/>
      <c r="R51" s="111"/>
      <c r="S51" s="111"/>
      <c r="T51" s="111"/>
      <c r="U51" s="111"/>
      <c r="AA51" s="239"/>
    </row>
    <row r="52" spans="4:27" s="79" customFormat="1">
      <c r="D52" s="108"/>
      <c r="E52" s="144"/>
      <c r="L52" s="171"/>
      <c r="M52" s="172"/>
      <c r="N52" s="172"/>
      <c r="O52" s="111"/>
      <c r="P52" s="111"/>
      <c r="Q52" s="145"/>
      <c r="R52" s="111"/>
      <c r="S52" s="111"/>
      <c r="T52" s="111"/>
      <c r="U52" s="111"/>
      <c r="AA52" s="239"/>
    </row>
    <row r="53" spans="4:27" s="79" customFormat="1">
      <c r="D53" s="108"/>
      <c r="E53" s="144"/>
      <c r="L53" s="171"/>
      <c r="M53" s="172"/>
      <c r="N53" s="172"/>
      <c r="O53" s="111"/>
      <c r="P53" s="111"/>
      <c r="Q53" s="145"/>
      <c r="R53" s="111"/>
      <c r="S53" s="111"/>
      <c r="T53" s="111"/>
      <c r="U53" s="111"/>
      <c r="AA53" s="239"/>
    </row>
    <row r="54" spans="4:27" s="79" customFormat="1">
      <c r="D54" s="108"/>
      <c r="E54" s="144"/>
      <c r="L54" s="171"/>
      <c r="M54" s="172"/>
      <c r="N54" s="172"/>
      <c r="O54" s="111"/>
      <c r="P54" s="111"/>
      <c r="Q54" s="145"/>
      <c r="R54" s="111"/>
      <c r="S54" s="111"/>
      <c r="T54" s="111"/>
      <c r="U54" s="111"/>
      <c r="AA54" s="239"/>
    </row>
    <row r="55" spans="4:27" s="79" customFormat="1">
      <c r="D55" s="108"/>
      <c r="E55" s="144"/>
      <c r="L55" s="171"/>
      <c r="M55" s="172"/>
      <c r="N55" s="172"/>
      <c r="O55" s="111"/>
      <c r="P55" s="111"/>
      <c r="Q55" s="145"/>
      <c r="R55" s="111"/>
      <c r="S55" s="111"/>
      <c r="T55" s="111"/>
      <c r="U55" s="111"/>
      <c r="AA55" s="239"/>
    </row>
    <row r="56" spans="4:27" s="79" customFormat="1">
      <c r="D56" s="108"/>
      <c r="E56" s="144"/>
      <c r="L56" s="171"/>
      <c r="M56" s="172"/>
      <c r="N56" s="172"/>
      <c r="O56" s="111"/>
      <c r="P56" s="111"/>
      <c r="Q56" s="145"/>
      <c r="R56" s="111"/>
      <c r="S56" s="111"/>
      <c r="T56" s="111"/>
      <c r="U56" s="111"/>
      <c r="AA56" s="239"/>
    </row>
    <row r="57" spans="4:27" s="79" customFormat="1">
      <c r="D57" s="108"/>
      <c r="E57" s="144"/>
      <c r="L57" s="171"/>
      <c r="M57" s="172"/>
      <c r="N57" s="172"/>
      <c r="O57" s="111"/>
      <c r="P57" s="111"/>
      <c r="Q57" s="145"/>
      <c r="R57" s="111"/>
      <c r="S57" s="111"/>
      <c r="T57" s="111"/>
      <c r="U57" s="111"/>
      <c r="AA57" s="239"/>
    </row>
    <row r="58" spans="4:27" s="79" customFormat="1">
      <c r="D58" s="108"/>
      <c r="E58" s="144"/>
      <c r="L58" s="171"/>
      <c r="M58" s="172"/>
      <c r="N58" s="172"/>
      <c r="O58" s="111"/>
      <c r="P58" s="111"/>
      <c r="Q58" s="145"/>
      <c r="R58" s="111"/>
      <c r="S58" s="111"/>
      <c r="T58" s="111"/>
      <c r="U58" s="111"/>
      <c r="AA58" s="239"/>
    </row>
    <row r="59" spans="4:27" s="79" customFormat="1">
      <c r="D59" s="108"/>
      <c r="E59" s="144"/>
      <c r="L59" s="171"/>
      <c r="M59" s="172"/>
      <c r="N59" s="172"/>
      <c r="O59" s="111"/>
      <c r="P59" s="111"/>
      <c r="Q59" s="145"/>
      <c r="R59" s="111"/>
      <c r="S59" s="111"/>
      <c r="T59" s="111"/>
      <c r="U59" s="111"/>
      <c r="AA59" s="239"/>
    </row>
    <row r="60" spans="4:27" s="79" customFormat="1">
      <c r="D60" s="108"/>
      <c r="E60" s="144"/>
      <c r="L60" s="171"/>
      <c r="M60" s="172"/>
      <c r="N60" s="172"/>
      <c r="O60" s="111"/>
      <c r="P60" s="111"/>
      <c r="Q60" s="145"/>
      <c r="R60" s="111"/>
      <c r="S60" s="111"/>
      <c r="T60" s="111"/>
      <c r="U60" s="111"/>
      <c r="AA60" s="239"/>
    </row>
    <row r="61" spans="4:27" s="79" customFormat="1">
      <c r="D61" s="108"/>
      <c r="E61" s="144"/>
      <c r="L61" s="171"/>
      <c r="M61" s="172"/>
      <c r="N61" s="172"/>
      <c r="O61" s="111"/>
      <c r="P61" s="111"/>
      <c r="Q61" s="145"/>
      <c r="R61" s="111"/>
      <c r="S61" s="111"/>
      <c r="T61" s="111"/>
      <c r="U61" s="111"/>
      <c r="AA61" s="239"/>
    </row>
    <row r="62" spans="4:27" s="79" customFormat="1">
      <c r="D62" s="108"/>
      <c r="E62" s="144"/>
      <c r="L62" s="171"/>
      <c r="M62" s="172"/>
      <c r="N62" s="172"/>
      <c r="O62" s="111"/>
      <c r="P62" s="111"/>
      <c r="Q62" s="145"/>
      <c r="R62" s="111"/>
      <c r="S62" s="111"/>
      <c r="T62" s="111"/>
      <c r="U62" s="111"/>
      <c r="AA62" s="239"/>
    </row>
    <row r="63" spans="4:27" s="79" customFormat="1">
      <c r="D63" s="108"/>
      <c r="E63" s="144"/>
      <c r="L63" s="171"/>
      <c r="M63" s="172"/>
      <c r="N63" s="172"/>
      <c r="O63" s="111"/>
      <c r="P63" s="111"/>
      <c r="Q63" s="145"/>
      <c r="R63" s="111"/>
      <c r="S63" s="111"/>
      <c r="T63" s="111"/>
      <c r="U63" s="111"/>
      <c r="AA63" s="239"/>
    </row>
    <row r="64" spans="4:27" s="79" customFormat="1">
      <c r="D64" s="108"/>
      <c r="E64" s="144"/>
      <c r="L64" s="171"/>
      <c r="M64" s="172"/>
      <c r="N64" s="172"/>
      <c r="O64" s="111"/>
      <c r="P64" s="111"/>
      <c r="Q64" s="145"/>
      <c r="R64" s="111"/>
      <c r="S64" s="111"/>
      <c r="T64" s="111"/>
      <c r="U64" s="111"/>
      <c r="AA64" s="239"/>
    </row>
    <row r="65" spans="4:27" s="79" customFormat="1">
      <c r="D65" s="108"/>
      <c r="E65" s="144"/>
      <c r="L65" s="171"/>
      <c r="M65" s="172"/>
      <c r="N65" s="172"/>
      <c r="O65" s="111"/>
      <c r="P65" s="111"/>
      <c r="Q65" s="145"/>
      <c r="R65" s="111"/>
      <c r="S65" s="111"/>
      <c r="T65" s="111"/>
      <c r="U65" s="111"/>
      <c r="AA65" s="239"/>
    </row>
    <row r="66" spans="4:27" s="79" customFormat="1">
      <c r="D66" s="108"/>
      <c r="E66" s="144"/>
      <c r="L66" s="171"/>
      <c r="M66" s="172"/>
      <c r="N66" s="172"/>
      <c r="O66" s="111"/>
      <c r="P66" s="111"/>
      <c r="Q66" s="145"/>
      <c r="R66" s="111"/>
      <c r="S66" s="111"/>
      <c r="T66" s="111"/>
      <c r="U66" s="111"/>
      <c r="AA66" s="239"/>
    </row>
    <row r="67" spans="4:27" s="79" customFormat="1">
      <c r="D67" s="108"/>
      <c r="E67" s="144"/>
      <c r="L67" s="171"/>
      <c r="M67" s="172"/>
      <c r="N67" s="172"/>
      <c r="O67" s="111"/>
      <c r="P67" s="111"/>
      <c r="Q67" s="145"/>
      <c r="R67" s="111"/>
      <c r="S67" s="111"/>
      <c r="T67" s="111"/>
      <c r="U67" s="111"/>
      <c r="AA67" s="239"/>
    </row>
    <row r="68" spans="4:27" s="79" customFormat="1">
      <c r="D68" s="108"/>
      <c r="E68" s="144"/>
      <c r="L68" s="171"/>
      <c r="M68" s="172"/>
      <c r="N68" s="172"/>
      <c r="O68" s="111"/>
      <c r="P68" s="111"/>
      <c r="Q68" s="145"/>
      <c r="R68" s="111"/>
      <c r="S68" s="111"/>
      <c r="T68" s="111"/>
      <c r="U68" s="111"/>
      <c r="AA68" s="239"/>
    </row>
    <row r="69" spans="4:27" s="79" customFormat="1">
      <c r="D69" s="108"/>
      <c r="E69" s="144"/>
      <c r="L69" s="171"/>
      <c r="M69" s="172"/>
      <c r="N69" s="172"/>
      <c r="O69" s="111"/>
      <c r="P69" s="111"/>
      <c r="Q69" s="145"/>
      <c r="R69" s="111"/>
      <c r="S69" s="111"/>
      <c r="T69" s="111"/>
      <c r="U69" s="111"/>
      <c r="AA69" s="239"/>
    </row>
    <row r="70" spans="4:27" s="79" customFormat="1">
      <c r="D70" s="108"/>
      <c r="E70" s="144"/>
      <c r="L70" s="171"/>
      <c r="M70" s="172"/>
      <c r="N70" s="172"/>
      <c r="O70" s="111"/>
      <c r="P70" s="111"/>
      <c r="Q70" s="145"/>
      <c r="R70" s="111"/>
      <c r="S70" s="111"/>
      <c r="T70" s="111"/>
      <c r="U70" s="111"/>
      <c r="AA70" s="239"/>
    </row>
    <row r="71" spans="4:27" s="79" customFormat="1">
      <c r="D71" s="108"/>
      <c r="E71" s="144"/>
      <c r="L71" s="171"/>
      <c r="M71" s="172"/>
      <c r="N71" s="172"/>
      <c r="O71" s="111"/>
      <c r="P71" s="111"/>
      <c r="Q71" s="145"/>
      <c r="R71" s="111"/>
      <c r="S71" s="111"/>
      <c r="T71" s="111"/>
      <c r="U71" s="111"/>
      <c r="AA71" s="239"/>
    </row>
  </sheetData>
  <mergeCells count="65"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topLeftCell="J13" zoomScale="80" zoomScaleNormal="8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54.1406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39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6">
        <v>40</v>
      </c>
      <c r="B1" s="226"/>
      <c r="C1" s="226"/>
      <c r="D1" s="226"/>
      <c r="E1" s="226"/>
      <c r="G1" s="171"/>
      <c r="H1" s="187"/>
      <c r="I1" s="227"/>
      <c r="J1" s="230"/>
      <c r="K1" s="231"/>
      <c r="L1" s="231"/>
      <c r="M1" s="231"/>
      <c r="N1" s="231"/>
      <c r="O1" s="231"/>
      <c r="P1" s="231"/>
      <c r="Q1" s="231"/>
      <c r="R1" s="231"/>
      <c r="S1" s="232"/>
      <c r="T1" s="239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6"/>
      <c r="B2" s="226"/>
      <c r="C2" s="226"/>
      <c r="D2" s="226"/>
      <c r="E2" s="226"/>
      <c r="G2" s="171"/>
      <c r="H2" s="187"/>
      <c r="I2" s="228"/>
      <c r="J2" s="233"/>
      <c r="K2" s="234"/>
      <c r="L2" s="234"/>
      <c r="M2" s="234"/>
      <c r="N2" s="234"/>
      <c r="O2" s="234"/>
      <c r="P2" s="234"/>
      <c r="Q2" s="234"/>
      <c r="R2" s="234"/>
      <c r="S2" s="235"/>
      <c r="T2" s="239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0" t="s">
        <v>5</v>
      </c>
      <c r="B3" s="240"/>
      <c r="C3" s="240"/>
      <c r="D3" s="240"/>
      <c r="E3" s="240"/>
      <c r="G3" s="171"/>
      <c r="H3" s="187"/>
      <c r="I3" s="228"/>
      <c r="J3" s="236"/>
      <c r="K3" s="237"/>
      <c r="L3" s="237"/>
      <c r="M3" s="237"/>
      <c r="N3" s="237"/>
      <c r="O3" s="237"/>
      <c r="P3" s="237"/>
      <c r="Q3" s="237"/>
      <c r="R3" s="237"/>
      <c r="S3" s="238"/>
      <c r="T3" s="239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29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176">
        <v>3</v>
      </c>
      <c r="E5" s="129">
        <f>(D5/$A$1)</f>
        <v>7.4999999999999997E-2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176">
        <v>1507</v>
      </c>
      <c r="O5" s="176">
        <v>1507</v>
      </c>
      <c r="P5" s="176">
        <v>1507</v>
      </c>
      <c r="Q5" s="176">
        <v>1507</v>
      </c>
      <c r="R5" s="211">
        <v>1507</v>
      </c>
      <c r="S5" s="17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176">
        <v>3</v>
      </c>
      <c r="E6" s="129">
        <f t="shared" ref="E6:E8" si="0">(D6/$A$1)</f>
        <v>7.4999999999999997E-2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176">
        <v>5</v>
      </c>
      <c r="E7" s="129">
        <f t="shared" si="0"/>
        <v>0.125</v>
      </c>
      <c r="H7" s="112"/>
      <c r="I7" s="185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f>FIGURES!$D$17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>
      <c r="A8" s="48" t="s">
        <v>15</v>
      </c>
      <c r="B8" s="48"/>
      <c r="C8" s="48"/>
      <c r="D8" s="176">
        <v>5</v>
      </c>
      <c r="E8" s="129">
        <f t="shared" si="0"/>
        <v>0.125</v>
      </c>
      <c r="H8" s="112"/>
      <c r="I8" s="185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3">
        <f>E12</f>
        <v>0.05</v>
      </c>
      <c r="O8" s="153">
        <f>E13</f>
        <v>0.125</v>
      </c>
      <c r="P8" s="153">
        <f>E14</f>
        <v>0.05</v>
      </c>
      <c r="Q8" s="153">
        <f>E15</f>
        <v>0.25</v>
      </c>
      <c r="R8" s="153">
        <f>$E$18</f>
        <v>0.05</v>
      </c>
      <c r="S8" s="153">
        <f>E17</f>
        <v>0.27500000000000002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>
      <c r="A9" s="241" t="s">
        <v>28</v>
      </c>
      <c r="B9" s="241"/>
      <c r="C9" s="241"/>
      <c r="D9" s="241"/>
      <c r="E9" s="241"/>
      <c r="I9" s="185" t="s">
        <v>29</v>
      </c>
      <c r="J9" s="164">
        <f t="shared" ref="J9:S9" si="1">J5*J6*J7*J8</f>
        <v>7.2336</v>
      </c>
      <c r="K9" s="164">
        <f t="shared" si="1"/>
        <v>14.580224999999999</v>
      </c>
      <c r="L9" s="165">
        <f t="shared" si="1"/>
        <v>7.4766037500000007</v>
      </c>
      <c r="M9" s="166">
        <f t="shared" si="1"/>
        <v>24.837243749999999</v>
      </c>
      <c r="N9" s="164">
        <f t="shared" si="1"/>
        <v>1.1641575</v>
      </c>
      <c r="O9" s="164">
        <f t="shared" si="1"/>
        <v>23.735250000000004</v>
      </c>
      <c r="P9" s="164">
        <f t="shared" si="1"/>
        <v>14.3165</v>
      </c>
      <c r="Q9" s="164">
        <f t="shared" si="1"/>
        <v>62.917250000000003</v>
      </c>
      <c r="R9" s="164">
        <f>R5*R6*R7*R8</f>
        <v>6.0430700000000002</v>
      </c>
      <c r="S9" s="164">
        <f t="shared" si="1"/>
        <v>91.173500000000018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1"/>
      <c r="B10" s="241"/>
      <c r="C10" s="241"/>
      <c r="D10" s="241"/>
      <c r="E10" s="241"/>
      <c r="I10" s="185" t="s">
        <v>30</v>
      </c>
      <c r="J10" s="154">
        <f>'Colorectal Benefit'!$F$16</f>
        <v>16990.687825378518</v>
      </c>
      <c r="K10" s="154">
        <f>'Heart Disease Benefit'!$G$16</f>
        <v>5163.385482584883</v>
      </c>
      <c r="L10" s="154">
        <f>'Stroke Benefits'!$G$18</f>
        <v>26965.530436548026</v>
      </c>
      <c r="M10" s="154">
        <f>'Hypertension Benefit'!$G$29</f>
        <v>1744.5312207539419</v>
      </c>
      <c r="N10" s="154">
        <f>osteoporosis!$C$35</f>
        <v>54357.895797724443</v>
      </c>
      <c r="O10" s="154">
        <f>'Type 2 Diabeties'!$C$31</f>
        <v>29894.750187047826</v>
      </c>
      <c r="P10" s="154">
        <f>Obesity!$C$45</f>
        <v>22157.275351603847</v>
      </c>
      <c r="Q10" s="154">
        <f>FIGURES!$F$14</f>
        <v>24258.2987284423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1"/>
      <c r="B11" s="241"/>
      <c r="C11" s="241"/>
      <c r="D11" s="241"/>
      <c r="E11" s="241"/>
      <c r="I11" s="255" t="s">
        <v>31</v>
      </c>
      <c r="J11" s="242">
        <f t="shared" ref="J11:S11" si="2">J9*J10</f>
        <v>122903.83945365805</v>
      </c>
      <c r="K11" s="242">
        <f t="shared" si="2"/>
        <v>75283.322097821176</v>
      </c>
      <c r="L11" s="244">
        <f t="shared" si="2"/>
        <v>201610.58598263413</v>
      </c>
      <c r="M11" s="246">
        <f t="shared" si="2"/>
        <v>43329.347159350713</v>
      </c>
      <c r="N11" s="242">
        <f t="shared" si="2"/>
        <v>63281.152077139392</v>
      </c>
      <c r="O11" s="242">
        <f t="shared" si="2"/>
        <v>709559.36937712703</v>
      </c>
      <c r="P11" s="242">
        <f t="shared" si="2"/>
        <v>317214.63257123646</v>
      </c>
      <c r="Q11" s="242">
        <f t="shared" si="2"/>
        <v>1526265.4456720864</v>
      </c>
      <c r="R11" s="224">
        <f>R9*R10</f>
        <v>131734.0044210598</v>
      </c>
      <c r="S11" s="242">
        <f t="shared" si="2"/>
        <v>231510.41328385303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176">
        <v>2</v>
      </c>
      <c r="E12" s="129">
        <f>(D12/$A$1)</f>
        <v>0.05</v>
      </c>
      <c r="H12" s="112"/>
      <c r="I12" s="255"/>
      <c r="J12" s="243"/>
      <c r="K12" s="243"/>
      <c r="L12" s="245"/>
      <c r="M12" s="247"/>
      <c r="N12" s="241"/>
      <c r="O12" s="241"/>
      <c r="P12" s="241"/>
      <c r="Q12" s="241"/>
      <c r="R12" s="225"/>
      <c r="S12" s="241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176">
        <v>5</v>
      </c>
      <c r="E13" s="129">
        <f t="shared" ref="E13:E15" si="3">(D13/$A$1)</f>
        <v>0.125</v>
      </c>
      <c r="F13" s="134"/>
      <c r="G13" s="171"/>
      <c r="H13" s="112"/>
      <c r="I13" s="186" t="s">
        <v>33</v>
      </c>
      <c r="J13" s="155">
        <f>SUM(J11:S12)</f>
        <v>3422692.112095966</v>
      </c>
      <c r="K13" s="155"/>
      <c r="L13" s="155"/>
      <c r="M13" s="155"/>
      <c r="N13" s="155"/>
      <c r="O13" s="155"/>
      <c r="P13" s="155"/>
      <c r="Q13" s="155"/>
      <c r="R13" s="155"/>
      <c r="S13" s="174"/>
      <c r="T13" s="239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176">
        <v>2</v>
      </c>
      <c r="E14" s="129">
        <f t="shared" si="3"/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6">
        <v>10</v>
      </c>
      <c r="E15" s="129">
        <f t="shared" si="3"/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8" t="s">
        <v>35</v>
      </c>
      <c r="B16" s="248"/>
      <c r="C16" s="248"/>
      <c r="D16" s="248"/>
      <c r="E16" s="248"/>
      <c r="I16" s="227"/>
      <c r="J16" s="230"/>
      <c r="K16" s="231"/>
      <c r="L16" s="231"/>
      <c r="M16" s="231"/>
      <c r="N16" s="231"/>
      <c r="O16" s="231"/>
      <c r="P16" s="231"/>
      <c r="Q16" s="231"/>
      <c r="R16" s="231"/>
      <c r="S16" s="232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176">
        <v>11</v>
      </c>
      <c r="E17" s="129">
        <f>(D17/$A$1)</f>
        <v>0.27500000000000002</v>
      </c>
      <c r="H17" s="112"/>
      <c r="I17" s="228"/>
      <c r="J17" s="233"/>
      <c r="K17" s="234"/>
      <c r="L17" s="234"/>
      <c r="M17" s="234"/>
      <c r="N17" s="234"/>
      <c r="O17" s="234"/>
      <c r="P17" s="234"/>
      <c r="Q17" s="234"/>
      <c r="R17" s="234"/>
      <c r="S17" s="235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173"/>
      <c r="B18" s="173"/>
      <c r="C18" s="218"/>
      <c r="D18" s="220">
        <v>2</v>
      </c>
      <c r="E18" s="221">
        <f>(D18/$A$1)</f>
        <v>0.05</v>
      </c>
      <c r="G18" s="171"/>
      <c r="H18" s="188"/>
      <c r="I18" s="228"/>
      <c r="J18" s="236"/>
      <c r="K18" s="237"/>
      <c r="L18" s="237"/>
      <c r="M18" s="237"/>
      <c r="N18" s="237"/>
      <c r="O18" s="237"/>
      <c r="P18" s="237"/>
      <c r="Q18" s="237"/>
      <c r="R18" s="237"/>
      <c r="S18" s="238"/>
      <c r="T18" s="239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19"/>
      <c r="G19" s="171"/>
      <c r="H19" s="188"/>
      <c r="I19" s="229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39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19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183">
        <v>1507</v>
      </c>
      <c r="O20" s="183">
        <v>1507</v>
      </c>
      <c r="P20" s="183">
        <v>1507</v>
      </c>
      <c r="Q20" s="183">
        <v>1507</v>
      </c>
      <c r="R20" s="211"/>
      <c r="S20" s="183">
        <v>1507</v>
      </c>
      <c r="T20" s="239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19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39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19"/>
      <c r="G22" s="171"/>
      <c r="H22" s="188"/>
      <c r="I22" s="185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/>
      <c r="S22" s="128">
        <v>0.22</v>
      </c>
      <c r="T22" s="239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19"/>
      <c r="G23" s="171"/>
      <c r="H23" s="188"/>
      <c r="I23" s="185" t="s">
        <v>27</v>
      </c>
      <c r="J23" s="129">
        <f t="shared" ref="J23:S24" si="4">J8</f>
        <v>7.4999999999999997E-2</v>
      </c>
      <c r="K23" s="129">
        <f t="shared" si="4"/>
        <v>7.4999999999999997E-2</v>
      </c>
      <c r="L23" s="129">
        <f t="shared" si="4"/>
        <v>0.125</v>
      </c>
      <c r="M23" s="129">
        <f t="shared" si="4"/>
        <v>0.125</v>
      </c>
      <c r="N23" s="153">
        <f t="shared" si="4"/>
        <v>0.05</v>
      </c>
      <c r="O23" s="153">
        <f t="shared" si="4"/>
        <v>0.125</v>
      </c>
      <c r="P23" s="153">
        <f t="shared" si="4"/>
        <v>0.05</v>
      </c>
      <c r="Q23" s="153">
        <f t="shared" si="4"/>
        <v>0.25</v>
      </c>
      <c r="R23" s="153"/>
      <c r="S23" s="153">
        <f t="shared" si="4"/>
        <v>0.27500000000000002</v>
      </c>
      <c r="T23" s="239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19"/>
      <c r="G24" s="171"/>
      <c r="H24" s="188"/>
      <c r="I24" s="185" t="s">
        <v>29</v>
      </c>
      <c r="J24" s="164">
        <f t="shared" si="4"/>
        <v>7.2336</v>
      </c>
      <c r="K24" s="164">
        <f t="shared" si="4"/>
        <v>14.580224999999999</v>
      </c>
      <c r="L24" s="165">
        <f t="shared" si="4"/>
        <v>7.4766037500000007</v>
      </c>
      <c r="M24" s="166">
        <f t="shared" si="4"/>
        <v>24.837243749999999</v>
      </c>
      <c r="N24" s="164">
        <f t="shared" si="4"/>
        <v>1.1641575</v>
      </c>
      <c r="O24" s="164">
        <f t="shared" si="4"/>
        <v>23.735250000000004</v>
      </c>
      <c r="P24" s="164">
        <f t="shared" si="4"/>
        <v>14.3165</v>
      </c>
      <c r="Q24" s="164">
        <f t="shared" si="4"/>
        <v>62.917250000000003</v>
      </c>
      <c r="R24" s="164"/>
      <c r="S24" s="164">
        <f t="shared" si="4"/>
        <v>91.173500000000018</v>
      </c>
      <c r="T24" s="239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19"/>
      <c r="G25" s="171"/>
      <c r="H25" s="188"/>
      <c r="I25" s="185" t="s">
        <v>39</v>
      </c>
      <c r="J25" s="155">
        <f>'Colorectal Benefit'!$R$15</f>
        <v>1416.173513037204</v>
      </c>
      <c r="K25" s="155">
        <f>'Heart Disease Benefit'!$S$16</f>
        <v>1191.4603282047069</v>
      </c>
      <c r="L25" s="155">
        <f>'Stroke Benefits'!$U$18</f>
        <v>4423.1591621347452</v>
      </c>
      <c r="M25" s="155">
        <f>'Hypertension Benefit'!$S$29</f>
        <v>5029.5885513802568</v>
      </c>
      <c r="N25" s="155">
        <f>osteoporosis!$M$22</f>
        <v>1591.5294686921341</v>
      </c>
      <c r="O25" s="155">
        <f>'Type 2 Diabeties'!$Q$18</f>
        <v>1499.2708266935911</v>
      </c>
      <c r="P25" s="155">
        <f>Obesity!$N$32</f>
        <v>2082.8085268126674</v>
      </c>
      <c r="Q25" s="155">
        <f>FIGURES!$G$14</f>
        <v>1055.9286788366394</v>
      </c>
      <c r="R25" s="155"/>
      <c r="S25" s="174">
        <v>0</v>
      </c>
      <c r="T25" s="239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19"/>
      <c r="G26" s="171"/>
      <c r="H26" s="188"/>
      <c r="I26" s="255" t="s">
        <v>40</v>
      </c>
      <c r="J26" s="224">
        <f t="shared" ref="J26:S26" si="5">J24*J25</f>
        <v>10244.032723905919</v>
      </c>
      <c r="K26" s="224">
        <f t="shared" si="5"/>
        <v>17371.759663798472</v>
      </c>
      <c r="L26" s="256">
        <f t="shared" si="5"/>
        <v>33070.208378463496</v>
      </c>
      <c r="M26" s="258">
        <f t="shared" si="5"/>
        <v>124921.11681284083</v>
      </c>
      <c r="N26" s="224">
        <f t="shared" si="5"/>
        <v>1852.7909674489629</v>
      </c>
      <c r="O26" s="224">
        <f t="shared" si="5"/>
        <v>35585.56788927906</v>
      </c>
      <c r="P26" s="224">
        <f t="shared" si="5"/>
        <v>29818.528274113552</v>
      </c>
      <c r="Q26" s="224">
        <f t="shared" si="5"/>
        <v>66436.128668534555</v>
      </c>
      <c r="R26" s="209"/>
      <c r="S26" s="224">
        <f t="shared" si="5"/>
        <v>0</v>
      </c>
      <c r="T26" s="239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5"/>
      <c r="J27" s="225"/>
      <c r="K27" s="225"/>
      <c r="L27" s="257"/>
      <c r="M27" s="259"/>
      <c r="N27" s="225"/>
      <c r="O27" s="225"/>
      <c r="P27" s="225"/>
      <c r="Q27" s="225"/>
      <c r="R27" s="210"/>
      <c r="S27" s="225"/>
      <c r="T27" s="239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319300.13337838487</v>
      </c>
      <c r="K28" s="155"/>
      <c r="L28" s="155"/>
      <c r="M28" s="155"/>
      <c r="N28" s="155"/>
      <c r="O28" s="155"/>
      <c r="P28" s="155"/>
      <c r="Q28" s="155"/>
      <c r="R28" s="155"/>
      <c r="S28" s="174"/>
      <c r="T28" s="239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39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39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133147.87217756396</v>
      </c>
      <c r="K31" s="161">
        <f t="shared" si="6"/>
        <v>92655.081761619644</v>
      </c>
      <c r="L31" s="161">
        <f t="shared" si="6"/>
        <v>234680.79436109762</v>
      </c>
      <c r="M31" s="161">
        <f t="shared" si="6"/>
        <v>168250.46397219156</v>
      </c>
      <c r="N31" s="161">
        <f t="shared" si="6"/>
        <v>65133.943044588355</v>
      </c>
      <c r="O31" s="161">
        <f t="shared" si="6"/>
        <v>745144.93726640614</v>
      </c>
      <c r="P31" s="161">
        <f t="shared" si="6"/>
        <v>347033.16084535001</v>
      </c>
      <c r="Q31" s="161">
        <f t="shared" si="6"/>
        <v>1592701.574340621</v>
      </c>
      <c r="R31" s="161">
        <f t="shared" si="6"/>
        <v>131734.0044210598</v>
      </c>
      <c r="S31" s="161">
        <f t="shared" si="6"/>
        <v>231510.41328385303</v>
      </c>
      <c r="T31" s="239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133147.87217756396</v>
      </c>
      <c r="K32" s="111">
        <v>92655.081761619644</v>
      </c>
      <c r="L32" s="111">
        <v>234680.79436109762</v>
      </c>
      <c r="M32" s="111">
        <v>168250.46397219156</v>
      </c>
      <c r="N32" s="79">
        <v>65133.943044588355</v>
      </c>
      <c r="O32" s="79">
        <v>745144.93726640614</v>
      </c>
      <c r="P32" s="79">
        <v>347033.16084535001</v>
      </c>
      <c r="Q32" s="79">
        <v>1592701.574340621</v>
      </c>
      <c r="R32" s="79">
        <v>131734.0044210598</v>
      </c>
      <c r="S32" s="79">
        <v>231510.41328385303</v>
      </c>
      <c r="T32" s="239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39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39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163">
        <f>$J$13</f>
        <v>3422692.112095966</v>
      </c>
      <c r="K35" s="161"/>
      <c r="L35" s="161"/>
      <c r="M35" s="111"/>
      <c r="T35" s="239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49" t="s">
        <v>36</v>
      </c>
      <c r="E36" s="252" t="s">
        <v>37</v>
      </c>
      <c r="G36" s="171"/>
      <c r="H36" s="188"/>
      <c r="I36" s="145" t="s">
        <v>44</v>
      </c>
      <c r="J36" s="163">
        <f>(J35/J34)</f>
        <v>2271.1958275354787</v>
      </c>
      <c r="K36" s="161"/>
      <c r="L36" s="161"/>
      <c r="M36" s="111"/>
      <c r="T36" s="239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0"/>
      <c r="E37" s="253"/>
      <c r="G37" s="171"/>
      <c r="H37" s="188"/>
      <c r="I37" s="145" t="s">
        <v>45</v>
      </c>
      <c r="J37" s="163">
        <f>$J$28</f>
        <v>319300.13337838487</v>
      </c>
      <c r="K37" s="161"/>
      <c r="L37" s="161"/>
      <c r="M37" s="111"/>
      <c r="T37" s="239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0"/>
      <c r="E38" s="253"/>
      <c r="G38" s="171"/>
      <c r="H38" s="188"/>
      <c r="I38" s="145" t="s">
        <v>46</v>
      </c>
      <c r="J38" s="163">
        <f>(J37/J34)</f>
        <v>211.87799162467476</v>
      </c>
      <c r="K38" s="161"/>
      <c r="L38" s="161"/>
      <c r="M38" s="111"/>
      <c r="T38" s="239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0"/>
      <c r="E39" s="253"/>
      <c r="G39" s="171"/>
      <c r="H39" s="188"/>
      <c r="I39" s="145" t="s">
        <v>47</v>
      </c>
      <c r="J39" s="163">
        <f>SUM(J35,J37)</f>
        <v>3741992.2454743506</v>
      </c>
      <c r="K39" s="161"/>
      <c r="L39" s="161"/>
      <c r="M39" s="111"/>
      <c r="T39" s="239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0"/>
      <c r="E40" s="253"/>
      <c r="G40" s="171"/>
      <c r="H40" s="188"/>
      <c r="I40" s="145" t="s">
        <v>48</v>
      </c>
      <c r="J40" s="163">
        <f>J39/J34</f>
        <v>2483.0738191601531</v>
      </c>
      <c r="K40" s="161"/>
      <c r="L40" s="161"/>
      <c r="M40" s="111"/>
      <c r="T40" s="239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0"/>
      <c r="E41" s="253"/>
      <c r="G41" s="171"/>
      <c r="H41" s="188"/>
      <c r="I41" s="145" t="s">
        <v>49</v>
      </c>
      <c r="J41" s="163">
        <v>1822135.8199999998</v>
      </c>
      <c r="K41" s="162"/>
      <c r="L41" s="162"/>
      <c r="M41" s="111"/>
      <c r="T41" s="239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0"/>
      <c r="E42" s="253"/>
      <c r="G42" s="171"/>
      <c r="H42" s="188"/>
      <c r="I42" s="145" t="s">
        <v>50</v>
      </c>
      <c r="J42" s="163">
        <f>J41/J34</f>
        <v>1209.1146781685466</v>
      </c>
      <c r="K42" s="162"/>
      <c r="L42" s="162"/>
      <c r="M42" s="111"/>
      <c r="T42" s="239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0"/>
      <c r="E43" s="253"/>
      <c r="G43" s="171"/>
      <c r="H43" s="188"/>
      <c r="I43" s="145" t="s">
        <v>51</v>
      </c>
      <c r="J43" s="163">
        <f>J40/J42</f>
        <v>2.0536297044390199</v>
      </c>
      <c r="K43" s="163"/>
      <c r="L43" s="111"/>
      <c r="M43" s="111"/>
      <c r="T43" s="239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0"/>
      <c r="E44" s="253"/>
      <c r="G44" s="171"/>
      <c r="H44" s="188"/>
      <c r="I44" s="145"/>
      <c r="J44" s="111"/>
      <c r="K44" s="111"/>
      <c r="L44" s="111"/>
      <c r="M44" s="111"/>
      <c r="T44" s="239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0"/>
      <c r="E45" s="253"/>
      <c r="G45" s="171"/>
      <c r="H45" s="188"/>
      <c r="I45" s="145"/>
      <c r="J45" s="111"/>
      <c r="K45" s="111"/>
      <c r="L45" s="111"/>
      <c r="M45" s="111"/>
      <c r="T45" s="239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0"/>
      <c r="E46" s="253"/>
      <c r="G46" s="171"/>
      <c r="H46" s="188"/>
      <c r="I46" s="145"/>
      <c r="J46" s="111"/>
      <c r="K46" s="111"/>
      <c r="L46" s="111"/>
      <c r="M46" s="111"/>
      <c r="T46" s="239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0"/>
      <c r="E47" s="253"/>
      <c r="G47" s="171"/>
      <c r="H47" s="188"/>
      <c r="I47" s="145"/>
      <c r="J47" s="111"/>
      <c r="K47" s="111"/>
      <c r="L47" s="111"/>
      <c r="M47" s="111"/>
      <c r="T47" s="239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0"/>
      <c r="E48" s="253"/>
      <c r="G48" s="171"/>
      <c r="H48" s="188"/>
      <c r="I48" s="145"/>
      <c r="J48" s="111"/>
      <c r="K48" s="111"/>
      <c r="L48" s="111"/>
      <c r="M48" s="111"/>
      <c r="T48" s="239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0"/>
      <c r="E49" s="253"/>
      <c r="G49" s="171"/>
      <c r="H49" s="188"/>
      <c r="I49" s="145"/>
      <c r="J49" s="111"/>
      <c r="K49" s="111"/>
      <c r="L49" s="111"/>
      <c r="M49" s="111"/>
      <c r="T49" s="239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0"/>
      <c r="E50" s="253"/>
      <c r="G50" s="171"/>
      <c r="H50" s="188"/>
      <c r="I50" s="145"/>
      <c r="J50" s="111"/>
      <c r="K50" s="111"/>
      <c r="L50" s="111"/>
      <c r="M50" s="111"/>
      <c r="T50" s="239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0"/>
      <c r="E51" s="253"/>
      <c r="G51" s="171"/>
      <c r="H51" s="188"/>
      <c r="I51" s="145"/>
      <c r="J51" s="111"/>
      <c r="K51" s="111"/>
      <c r="L51" s="111"/>
      <c r="M51" s="111"/>
      <c r="T51" s="239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1"/>
      <c r="E52" s="254"/>
      <c r="G52" s="171"/>
      <c r="H52" s="188"/>
      <c r="I52" s="145"/>
      <c r="J52" s="111"/>
      <c r="K52" s="111"/>
      <c r="L52" s="111"/>
      <c r="M52" s="111"/>
      <c r="T52" s="239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39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39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39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39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39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39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39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39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39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39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39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39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39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39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39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39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39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39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39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  <mergeCell ref="D36:D52"/>
    <mergeCell ref="E36:E52"/>
    <mergeCell ref="A16:E16"/>
    <mergeCell ref="I16:I19"/>
    <mergeCell ref="I26:I27"/>
    <mergeCell ref="A9:E11"/>
    <mergeCell ref="I11:I12"/>
    <mergeCell ref="I1:I4"/>
    <mergeCell ref="P11:P12"/>
    <mergeCell ref="J1:S3"/>
    <mergeCell ref="A1:E2"/>
    <mergeCell ref="A3:E3"/>
    <mergeCell ref="O11:O12"/>
    <mergeCell ref="J11:J12"/>
    <mergeCell ref="K11:K12"/>
    <mergeCell ref="R11: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141" t="s">
        <v>58</v>
      </c>
      <c r="C4" s="142" t="s">
        <v>59</v>
      </c>
      <c r="D4" s="142">
        <v>0.8</v>
      </c>
      <c r="E4" s="142" t="s">
        <v>59</v>
      </c>
      <c r="F4" s="143">
        <f>'Colorectal Benefit'!$F$16</f>
        <v>16990.687825378518</v>
      </c>
      <c r="G4" s="143">
        <f>'Colorectal Benefit'!$R$15</f>
        <v>1416.173513037204</v>
      </c>
    </row>
    <row r="5" spans="1:7">
      <c r="A5" s="48" t="s">
        <v>23</v>
      </c>
      <c r="B5" s="141">
        <v>0.25800000000000001</v>
      </c>
      <c r="C5" s="142" t="s">
        <v>59</v>
      </c>
      <c r="D5" s="142">
        <v>0.5</v>
      </c>
      <c r="E5" s="142" t="s">
        <v>59</v>
      </c>
      <c r="F5" s="143">
        <f>'Heart Disease Benefit'!$G$16</f>
        <v>5163.385482584883</v>
      </c>
      <c r="G5" s="143">
        <f>'Heart Disease Benefit'!$S$16</f>
        <v>1191.4603282047069</v>
      </c>
    </row>
    <row r="6" spans="1:7">
      <c r="A6" s="48" t="s">
        <v>25</v>
      </c>
      <c r="B6" s="141">
        <v>8.1000000000000003E-2</v>
      </c>
      <c r="C6" s="142" t="s">
        <v>59</v>
      </c>
      <c r="D6" s="142">
        <v>0.49</v>
      </c>
      <c r="E6" s="142" t="s">
        <v>59</v>
      </c>
      <c r="F6" s="143">
        <f>'Stroke Benefits'!$G$18</f>
        <v>26965.530436548026</v>
      </c>
      <c r="G6" s="143">
        <f>'Stroke Benefits'!$U$18</f>
        <v>4423.1591621347452</v>
      </c>
    </row>
    <row r="7" spans="1:7">
      <c r="A7" s="48" t="s">
        <v>15</v>
      </c>
      <c r="B7" s="141">
        <v>0.29299999999999998</v>
      </c>
      <c r="C7" s="142" t="s">
        <v>59</v>
      </c>
      <c r="D7" s="142">
        <v>0.45</v>
      </c>
      <c r="E7" s="142" t="s">
        <v>59</v>
      </c>
      <c r="F7" s="143">
        <f>'Hypertension Benefit'!$G$29</f>
        <v>1744.5312207539419</v>
      </c>
      <c r="G7" s="143">
        <f>'Hypertension Benefit'!$S$29</f>
        <v>5029.5885513802568</v>
      </c>
    </row>
    <row r="8" spans="1:7">
      <c r="A8" s="282" t="s">
        <v>60</v>
      </c>
      <c r="B8" s="282"/>
      <c r="C8" s="282"/>
      <c r="D8" s="282"/>
      <c r="E8" s="176"/>
      <c r="F8" s="143"/>
      <c r="G8" s="143"/>
    </row>
    <row r="9" spans="1:7">
      <c r="A9" s="282"/>
      <c r="B9" s="282"/>
      <c r="C9" s="282"/>
      <c r="D9" s="282"/>
      <c r="E9" s="176"/>
      <c r="F9" s="143"/>
      <c r="G9" s="143"/>
    </row>
    <row r="10" spans="1:7">
      <c r="A10" s="282"/>
      <c r="B10" s="282"/>
      <c r="C10" s="282"/>
      <c r="D10" s="282"/>
      <c r="E10" s="176"/>
      <c r="F10" s="143"/>
      <c r="G10" s="143"/>
    </row>
    <row r="11" spans="1:7">
      <c r="A11" s="48" t="s">
        <v>16</v>
      </c>
      <c r="B11" s="141">
        <v>0.10299999999999999</v>
      </c>
      <c r="C11" s="142" t="s">
        <v>59</v>
      </c>
      <c r="D11" s="142">
        <v>0.15</v>
      </c>
      <c r="E11" s="142" t="s">
        <v>61</v>
      </c>
      <c r="F11" s="143">
        <f>osteoporosis!$C$35</f>
        <v>54357.895797724443</v>
      </c>
      <c r="G11" s="143">
        <f>osteoporosis!$M$22</f>
        <v>1591.5294686921341</v>
      </c>
    </row>
    <row r="12" spans="1:7">
      <c r="A12" s="48" t="s">
        <v>32</v>
      </c>
      <c r="B12" s="141">
        <v>0.28000000000000003</v>
      </c>
      <c r="C12" s="142" t="s">
        <v>59</v>
      </c>
      <c r="D12" s="142">
        <v>0.45</v>
      </c>
      <c r="E12" s="142" t="s">
        <v>59</v>
      </c>
      <c r="F12" s="143">
        <f>'Type 2 Diabeties'!$C$31</f>
        <v>29894.750187047826</v>
      </c>
      <c r="G12" s="143">
        <f>'Type 2 Diabeties'!$Q$18</f>
        <v>1499.2708266935911</v>
      </c>
    </row>
    <row r="13" spans="1:7">
      <c r="A13" s="48" t="s">
        <v>18</v>
      </c>
      <c r="B13" s="141">
        <v>0.38</v>
      </c>
      <c r="C13" s="142" t="s">
        <v>59</v>
      </c>
      <c r="D13" s="142">
        <v>0.5</v>
      </c>
      <c r="E13" s="142" t="s">
        <v>61</v>
      </c>
      <c r="F13" s="143">
        <f>Obesity!$C$45</f>
        <v>22157.275351603847</v>
      </c>
      <c r="G13" s="143">
        <f>Obesity!$N$32</f>
        <v>2082.8085268126674</v>
      </c>
    </row>
    <row r="14" spans="1:7">
      <c r="A14" s="48" t="s">
        <v>34</v>
      </c>
      <c r="B14" s="141">
        <v>0.16700000000000001</v>
      </c>
      <c r="C14" s="142" t="s">
        <v>59</v>
      </c>
      <c r="D14" s="142">
        <v>1</v>
      </c>
      <c r="E14" s="142" t="s">
        <v>59</v>
      </c>
      <c r="F14" s="143">
        <f>'Foodborne illness'!$C$47</f>
        <v>24258.2987284423</v>
      </c>
      <c r="G14" s="143">
        <f>'Foodborne illness'!$M$34</f>
        <v>1055.9286788366394</v>
      </c>
    </row>
    <row r="15" spans="1:7">
      <c r="A15" s="248" t="s">
        <v>62</v>
      </c>
      <c r="B15" s="248"/>
      <c r="C15" s="248"/>
      <c r="D15" s="248"/>
      <c r="E15" s="175"/>
      <c r="F15" s="143"/>
      <c r="G15" s="143"/>
    </row>
    <row r="16" spans="1:7">
      <c r="A16" s="48" t="s">
        <v>20</v>
      </c>
      <c r="B16" s="141">
        <v>1</v>
      </c>
      <c r="C16" s="142" t="s">
        <v>59</v>
      </c>
      <c r="D16" s="142">
        <v>0.22</v>
      </c>
      <c r="E16" s="142" t="s">
        <v>61</v>
      </c>
      <c r="F16" s="143">
        <f>'Data &amp; PV'!$G$12</f>
        <v>2539.229198</v>
      </c>
      <c r="G16" s="143"/>
    </row>
    <row r="17" spans="1:7">
      <c r="A17" s="212" t="s">
        <v>83</v>
      </c>
      <c r="B17" s="216">
        <v>8.0199999999999994E-2</v>
      </c>
      <c r="C17" s="217"/>
      <c r="D17" s="217">
        <v>1</v>
      </c>
      <c r="E17" s="217"/>
      <c r="F17" s="215">
        <f>'[2]Data &amp; PV'!$H$13</f>
        <v>21799.185582999999</v>
      </c>
      <c r="G17" s="215"/>
    </row>
    <row r="18" spans="1:7">
      <c r="A18" s="173"/>
      <c r="B18" s="286" t="s">
        <v>63</v>
      </c>
      <c r="C18" s="149"/>
      <c r="D18" s="283" t="s">
        <v>64</v>
      </c>
      <c r="E18" s="147"/>
      <c r="F18" s="289" t="s">
        <v>65</v>
      </c>
      <c r="G18" s="289"/>
    </row>
    <row r="19" spans="1:7">
      <c r="B19" s="287"/>
      <c r="C19" s="150"/>
      <c r="D19" s="284"/>
      <c r="E19" s="148"/>
      <c r="F19" s="290"/>
      <c r="G19" s="290"/>
    </row>
    <row r="20" spans="1:7">
      <c r="B20" s="287"/>
      <c r="C20" s="150"/>
      <c r="D20" s="284"/>
      <c r="E20" s="148"/>
      <c r="F20" s="290"/>
      <c r="G20" s="290"/>
    </row>
    <row r="21" spans="1:7">
      <c r="B21" s="287"/>
      <c r="C21" s="150"/>
      <c r="D21" s="284"/>
      <c r="E21" s="148"/>
      <c r="F21" s="290"/>
      <c r="G21" s="290"/>
    </row>
    <row r="22" spans="1:7">
      <c r="B22" s="287"/>
      <c r="C22" s="150"/>
      <c r="D22" s="284"/>
      <c r="E22" s="148"/>
      <c r="F22" s="290"/>
      <c r="G22" s="290"/>
    </row>
    <row r="23" spans="1:7">
      <c r="B23" s="287"/>
      <c r="C23" s="150"/>
      <c r="D23" s="284"/>
      <c r="E23" s="148"/>
      <c r="F23" s="290"/>
      <c r="G23" s="290"/>
    </row>
    <row r="24" spans="1:7">
      <c r="B24" s="287"/>
      <c r="C24" s="150"/>
      <c r="D24" s="284"/>
      <c r="E24" s="148"/>
    </row>
    <row r="25" spans="1:7">
      <c r="B25" s="287"/>
      <c r="C25" s="150"/>
      <c r="D25" s="284"/>
      <c r="E25" s="148"/>
    </row>
    <row r="26" spans="1:7">
      <c r="B26" s="287"/>
      <c r="C26" s="150"/>
      <c r="D26" s="284"/>
      <c r="E26" s="148"/>
    </row>
    <row r="27" spans="1:7">
      <c r="B27" s="287"/>
      <c r="C27" s="150"/>
      <c r="D27" s="284"/>
      <c r="E27" s="148"/>
    </row>
    <row r="28" spans="1:7">
      <c r="B28" s="287"/>
      <c r="C28" s="150"/>
      <c r="D28" s="284"/>
      <c r="E28" s="148"/>
    </row>
    <row r="29" spans="1:7">
      <c r="B29" s="288"/>
      <c r="C29" s="151"/>
      <c r="D29" s="285"/>
      <c r="E29" s="148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3" t="s">
        <v>21</v>
      </c>
      <c r="B4" s="101">
        <v>4.3999999999999997E-2</v>
      </c>
      <c r="C4" s="104">
        <v>0.12</v>
      </c>
      <c r="D4" s="173">
        <v>1</v>
      </c>
      <c r="E4" s="173">
        <v>3</v>
      </c>
      <c r="F4" s="106">
        <v>2</v>
      </c>
      <c r="G4" s="98">
        <f>(F4/72)</f>
        <v>2.7777777777777776E-2</v>
      </c>
      <c r="H4" s="74">
        <f>'Colorectal Benefit'!$F$16</f>
        <v>16990.687825378518</v>
      </c>
      <c r="I4" s="74">
        <f>'Colorectal Benefit'!$R$15</f>
        <v>1416.173513037204</v>
      </c>
    </row>
    <row r="5" spans="1:11">
      <c r="A5" s="173" t="s">
        <v>23</v>
      </c>
      <c r="B5" s="101">
        <v>0.25800000000000001</v>
      </c>
      <c r="C5" s="104">
        <v>0.3</v>
      </c>
      <c r="D5" s="173">
        <v>1</v>
      </c>
      <c r="E5" s="173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5163.385482584883</v>
      </c>
      <c r="I5" s="74">
        <f>'Heart Disease Benefit'!$S$16</f>
        <v>1191.4603282047069</v>
      </c>
    </row>
    <row r="6" spans="1:11">
      <c r="A6" s="173" t="s">
        <v>25</v>
      </c>
      <c r="B6" s="101">
        <v>3.1E-2</v>
      </c>
      <c r="C6" s="104">
        <v>0.27</v>
      </c>
      <c r="D6" s="173">
        <v>0</v>
      </c>
      <c r="E6" s="173">
        <v>4</v>
      </c>
      <c r="F6" s="106">
        <v>4</v>
      </c>
      <c r="G6" s="98">
        <f t="shared" si="0"/>
        <v>5.5555555555555552E-2</v>
      </c>
      <c r="H6" s="74">
        <f>'Stroke Benefits'!$G$18</f>
        <v>26965.530436548026</v>
      </c>
      <c r="I6" s="74">
        <f>'Stroke Benefits'!$U$18</f>
        <v>4423.1591621347452</v>
      </c>
    </row>
    <row r="7" spans="1:11">
      <c r="A7" s="173" t="s">
        <v>15</v>
      </c>
      <c r="B7" s="101">
        <v>0.28999999999999998</v>
      </c>
      <c r="C7" s="104">
        <v>0.45</v>
      </c>
      <c r="D7" s="173">
        <v>0</v>
      </c>
      <c r="E7" s="173">
        <v>4</v>
      </c>
      <c r="F7" s="106">
        <v>4</v>
      </c>
      <c r="G7" s="98">
        <f t="shared" si="0"/>
        <v>5.5555555555555552E-2</v>
      </c>
      <c r="H7" s="74">
        <f>'Hypertension Benefit'!$G$29</f>
        <v>1744.5312207539419</v>
      </c>
      <c r="I7" s="74">
        <f>'Hypertension Benefit'!$S$29</f>
        <v>5029.5885513802568</v>
      </c>
    </row>
    <row r="8" spans="1:11">
      <c r="A8" s="291" t="s">
        <v>60</v>
      </c>
      <c r="B8" s="291"/>
      <c r="C8" s="291"/>
      <c r="D8" s="27"/>
      <c r="E8" s="27"/>
      <c r="F8" s="106"/>
      <c r="H8" s="74"/>
    </row>
    <row r="9" spans="1:11">
      <c r="A9" s="291"/>
      <c r="B9" s="291"/>
      <c r="C9" s="291"/>
      <c r="D9" s="27"/>
      <c r="E9" s="27"/>
      <c r="F9" s="106"/>
      <c r="H9" s="74"/>
    </row>
    <row r="10" spans="1:11">
      <c r="A10" s="291"/>
      <c r="B10" s="291"/>
      <c r="C10" s="291"/>
      <c r="D10" s="27"/>
      <c r="E10" s="27"/>
      <c r="F10" s="106"/>
      <c r="H10" s="74"/>
    </row>
    <row r="11" spans="1:11">
      <c r="A11" s="173" t="s">
        <v>16</v>
      </c>
      <c r="B11" s="101">
        <v>0.245</v>
      </c>
      <c r="C11" s="104">
        <v>0.15</v>
      </c>
      <c r="D11" s="173">
        <v>2</v>
      </c>
      <c r="E11" s="173">
        <v>0</v>
      </c>
      <c r="F11" s="106">
        <v>0</v>
      </c>
      <c r="G11" s="98">
        <f t="shared" si="0"/>
        <v>0</v>
      </c>
      <c r="H11" s="74">
        <f>osteoporosis!$C$35</f>
        <v>54357.895797724443</v>
      </c>
      <c r="I11" s="74">
        <f>osteoporosis!$M$22</f>
        <v>1591.5294686921341</v>
      </c>
    </row>
    <row r="12" spans="1:11">
      <c r="A12" s="173" t="s">
        <v>32</v>
      </c>
      <c r="B12" s="101">
        <v>0.13</v>
      </c>
      <c r="C12" s="104">
        <v>0.51</v>
      </c>
      <c r="D12" s="173">
        <v>2</v>
      </c>
      <c r="E12" s="173">
        <v>2</v>
      </c>
      <c r="F12" s="106">
        <v>2</v>
      </c>
      <c r="G12" s="98">
        <f t="shared" si="0"/>
        <v>2.7777777777777776E-2</v>
      </c>
      <c r="H12" s="74">
        <f>'Type 2 Diabeties'!$C$31</f>
        <v>29894.750187047826</v>
      </c>
      <c r="I12" s="74">
        <f>'Type 2 Diabeties'!$Q$18</f>
        <v>1499.2708266935911</v>
      </c>
    </row>
    <row r="13" spans="1:11">
      <c r="A13" s="173" t="s">
        <v>18</v>
      </c>
      <c r="B13" s="101">
        <v>0.39800000000000002</v>
      </c>
      <c r="C13" s="104">
        <v>0.5</v>
      </c>
      <c r="D13" s="173">
        <v>1</v>
      </c>
      <c r="E13" s="173">
        <v>1</v>
      </c>
      <c r="F13" s="106">
        <v>1</v>
      </c>
      <c r="G13" s="98">
        <f t="shared" si="0"/>
        <v>1.3888888888888888E-2</v>
      </c>
      <c r="H13" s="74">
        <f>Obesity!$C$45</f>
        <v>22157.275351603847</v>
      </c>
      <c r="I13" s="74">
        <f>Obesity!$N$32</f>
        <v>2082.8085268126674</v>
      </c>
    </row>
    <row r="14" spans="1:11">
      <c r="A14" s="173" t="s">
        <v>34</v>
      </c>
      <c r="B14" s="101">
        <v>0.16700000000000001</v>
      </c>
      <c r="C14" s="104">
        <v>1</v>
      </c>
      <c r="D14" s="173">
        <v>4</v>
      </c>
      <c r="E14" s="173">
        <v>4</v>
      </c>
      <c r="F14" s="106">
        <v>2</v>
      </c>
      <c r="G14" s="98">
        <f t="shared" si="0"/>
        <v>2.7777777777777776E-2</v>
      </c>
      <c r="H14" s="74">
        <f>'Foodborne illness'!$C$47</f>
        <v>24258.2987284423</v>
      </c>
      <c r="I14" s="74">
        <f>'Foodborne illness'!$M$34</f>
        <v>1055.9286788366394</v>
      </c>
    </row>
    <row r="15" spans="1:11">
      <c r="A15" s="292" t="s">
        <v>62</v>
      </c>
      <c r="B15" s="292"/>
      <c r="C15" s="292"/>
      <c r="F15" s="106"/>
      <c r="H15" s="74"/>
    </row>
    <row r="16" spans="1:11">
      <c r="A16" s="173" t="s">
        <v>20</v>
      </c>
      <c r="B16" s="101">
        <v>0.68</v>
      </c>
      <c r="C16" s="104">
        <v>0.22</v>
      </c>
      <c r="D16" s="173">
        <v>12</v>
      </c>
      <c r="E16" s="173">
        <v>17</v>
      </c>
      <c r="F16" s="106">
        <v>5</v>
      </c>
      <c r="G16" s="98">
        <f t="shared" si="0"/>
        <v>6.9444444444444448E-2</v>
      </c>
      <c r="H16" s="74">
        <f>'Data &amp; PV'!$G$12</f>
        <v>2539.229198</v>
      </c>
    </row>
    <row r="17" spans="1:8">
      <c r="A17" s="173"/>
      <c r="B17" s="101"/>
      <c r="C17" s="104"/>
      <c r="D17" s="173"/>
      <c r="E17" s="173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workbookViewId="0">
      <pane xSplit="1" topLeftCell="B1" activePane="topRight" state="frozen"/>
      <selection pane="topRight" activeCell="D13" sqref="D13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1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</row>
    <row r="2" spans="1:11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09">
        <f>32255*1.078687</f>
        <v>34793.049184999996</v>
      </c>
      <c r="H2" s="55">
        <v>65</v>
      </c>
      <c r="I2" s="175">
        <v>50</v>
      </c>
      <c r="J2" s="51">
        <f>7.25*$I$2*8</f>
        <v>2900</v>
      </c>
      <c r="K2" s="76">
        <f>FIGURES!G4</f>
        <v>1416.173513037204</v>
      </c>
    </row>
    <row r="3" spans="1:11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09">
        <f>13748*1.078687</f>
        <v>14829.788875999999</v>
      </c>
      <c r="H3" s="55">
        <v>65</v>
      </c>
      <c r="I3" s="83">
        <v>59</v>
      </c>
      <c r="J3" s="51">
        <f>7.25*I3*8</f>
        <v>3422</v>
      </c>
      <c r="K3" s="76">
        <f>FIGURES!G5</f>
        <v>1191.4603282047069</v>
      </c>
    </row>
    <row r="4" spans="1:11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09">
        <f>21307*1.078687</f>
        <v>22983.583908999997</v>
      </c>
      <c r="H4" s="55">
        <v>65</v>
      </c>
      <c r="I4" s="175">
        <v>65</v>
      </c>
      <c r="J4" s="51">
        <f>7.25*I4*8</f>
        <v>3770</v>
      </c>
      <c r="K4" s="76">
        <f>FIGURES!G6</f>
        <v>4423.1591621347452</v>
      </c>
    </row>
    <row r="5" spans="1:11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09">
        <f>746*1.078687</f>
        <v>804.70050199999991</v>
      </c>
      <c r="H5" s="55">
        <v>65</v>
      </c>
      <c r="I5" s="175">
        <v>40</v>
      </c>
      <c r="J5" s="51">
        <f>7.25*I5*8</f>
        <v>2320</v>
      </c>
      <c r="K5" s="76">
        <f>FIGURES!G7</f>
        <v>5029.5885513802568</v>
      </c>
    </row>
    <row r="6" spans="1:11" ht="33" customHeight="1">
      <c r="A6" s="293" t="s">
        <v>28</v>
      </c>
      <c r="B6" s="293"/>
      <c r="C6" s="293"/>
      <c r="D6" s="293"/>
      <c r="E6" s="293"/>
      <c r="F6" s="293"/>
      <c r="G6" s="293"/>
      <c r="H6" s="55"/>
      <c r="I6" s="175"/>
      <c r="J6" s="51"/>
      <c r="K6" s="175"/>
    </row>
    <row r="7" spans="1:11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09">
        <f>9891*1.078687</f>
        <v>10669.293116999999</v>
      </c>
      <c r="H7" s="55">
        <v>65</v>
      </c>
      <c r="I7" s="175">
        <v>7</v>
      </c>
      <c r="J7" s="51">
        <f>7.25*I7*8</f>
        <v>406</v>
      </c>
      <c r="K7" s="76">
        <f>FIGURES!G11</f>
        <v>1591.5294686921341</v>
      </c>
    </row>
    <row r="8" spans="1:11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09">
        <f>8038*1.078687</f>
        <v>8670.4861060000003</v>
      </c>
      <c r="H8" s="55">
        <v>65</v>
      </c>
      <c r="I8" s="175">
        <v>11</v>
      </c>
      <c r="J8" s="51">
        <f>7.25*I8*8</f>
        <v>638</v>
      </c>
      <c r="K8" s="76">
        <f>FIGURES!G12</f>
        <v>1499.2708266935911</v>
      </c>
    </row>
    <row r="9" spans="1:11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09">
        <f>1897*1.078687</f>
        <v>2046.269239</v>
      </c>
      <c r="H9" s="55">
        <v>65</v>
      </c>
      <c r="I9" s="175">
        <v>3.72</v>
      </c>
      <c r="J9" s="51">
        <f>7.25*I9*8</f>
        <v>215.76000000000002</v>
      </c>
      <c r="K9" s="76">
        <f>FIGURES!G13</f>
        <v>2082.8085268126674</v>
      </c>
    </row>
    <row r="10" spans="1:11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09">
        <f>1679*1.078687</f>
        <v>1811.1154729999998</v>
      </c>
      <c r="H10" s="55">
        <v>65</v>
      </c>
      <c r="I10" s="175">
        <v>1.5</v>
      </c>
      <c r="J10" s="51">
        <f>7.25*I10*8</f>
        <v>87</v>
      </c>
      <c r="K10" s="76">
        <f>FIGURES!G14</f>
        <v>1055.9286788366394</v>
      </c>
    </row>
    <row r="11" spans="1:11">
      <c r="A11" s="293" t="s">
        <v>35</v>
      </c>
      <c r="B11" s="293"/>
      <c r="C11" s="293"/>
      <c r="D11" s="293"/>
      <c r="E11" s="293"/>
      <c r="F11" s="293"/>
      <c r="G11" s="293"/>
      <c r="H11" s="55"/>
      <c r="I11" s="175"/>
      <c r="J11" s="51"/>
      <c r="K11" s="76"/>
    </row>
    <row r="12" spans="1:11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09">
        <f>2354*1.078687</f>
        <v>2539.229198</v>
      </c>
      <c r="H12" s="55">
        <v>65</v>
      </c>
      <c r="I12" s="175"/>
      <c r="J12" s="51"/>
      <c r="K12" s="175"/>
    </row>
    <row r="13" spans="1:11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09">
        <f>20209*1.078687</f>
        <v>21799.185582999999</v>
      </c>
      <c r="H13" s="55">
        <v>65</v>
      </c>
      <c r="I13" s="175"/>
      <c r="J13" s="51"/>
      <c r="K13" s="175"/>
    </row>
    <row r="14" spans="1:11">
      <c r="A14" s="208"/>
      <c r="B14" s="208"/>
      <c r="C14" s="208"/>
      <c r="D14" s="208"/>
      <c r="E14" s="208"/>
      <c r="F14" s="208"/>
      <c r="G14" s="213"/>
      <c r="H14" s="112"/>
      <c r="J14" s="214"/>
    </row>
    <row r="15" spans="1:11">
      <c r="G15" s="295" t="s">
        <v>84</v>
      </c>
    </row>
    <row r="16" spans="1:11">
      <c r="A16" s="84"/>
      <c r="B16" s="85"/>
      <c r="E16" s="86"/>
      <c r="G16" s="296"/>
      <c r="J16" s="87"/>
    </row>
    <row r="17" spans="5:13">
      <c r="G17" s="296"/>
      <c r="L17" s="49" t="s">
        <v>85</v>
      </c>
      <c r="M17" s="110">
        <f>(255.651/237.002)</f>
        <v>1.0786870996869224</v>
      </c>
    </row>
    <row r="18" spans="5:13">
      <c r="G18" s="296"/>
    </row>
    <row r="19" spans="5:13">
      <c r="E19" s="88"/>
      <c r="F19" s="88"/>
      <c r="G19" s="296"/>
      <c r="H19" s="88"/>
    </row>
    <row r="20" spans="5:13">
      <c r="E20" s="88"/>
      <c r="F20" s="88"/>
      <c r="G20" s="296"/>
      <c r="H20" s="88"/>
    </row>
    <row r="21" spans="5:13">
      <c r="E21" s="88"/>
      <c r="F21" s="88"/>
      <c r="G21" s="296"/>
      <c r="H21" s="88"/>
    </row>
    <row r="22" spans="5:13">
      <c r="G22" s="296"/>
    </row>
    <row r="23" spans="5:13">
      <c r="G23" s="296"/>
    </row>
    <row r="24" spans="5:13" ht="43.5" customHeight="1">
      <c r="E24" s="294"/>
      <c r="F24" s="294"/>
      <c r="G24" s="294"/>
      <c r="H24" s="294"/>
      <c r="I24" s="49" t="s">
        <v>86</v>
      </c>
    </row>
  </sheetData>
  <mergeCells count="4">
    <mergeCell ref="A6:G6"/>
    <mergeCell ref="E24:H24"/>
    <mergeCell ref="A11:G11"/>
    <mergeCell ref="G15:G2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O1" activePane="topRight" state="frozen"/>
      <selection pane="topRight" activeCell="C10" sqref="C10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300" t="s">
        <v>87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28"/>
      <c r="M1" s="300" t="s">
        <v>88</v>
      </c>
      <c r="N1" s="301"/>
      <c r="O1" s="301"/>
      <c r="P1" s="301"/>
      <c r="Q1" s="301"/>
      <c r="R1" s="301"/>
      <c r="S1" s="301"/>
      <c r="T1" s="301"/>
      <c r="U1" s="301"/>
      <c r="V1" s="301"/>
      <c r="W1" s="301"/>
    </row>
    <row r="2" spans="1:23">
      <c r="A2" s="302"/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28"/>
      <c r="M2" s="302"/>
      <c r="N2" s="303"/>
      <c r="O2" s="303"/>
      <c r="P2" s="303"/>
      <c r="Q2" s="303"/>
      <c r="R2" s="303"/>
      <c r="S2" s="303"/>
      <c r="T2" s="303"/>
      <c r="U2" s="303"/>
      <c r="V2" s="303"/>
      <c r="W2" s="303"/>
    </row>
    <row r="3" spans="1:23" s="3" customFormat="1" ht="26.25" customHeight="1">
      <c r="A3" s="304" t="s">
        <v>89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28"/>
      <c r="M3" s="304" t="s">
        <v>89</v>
      </c>
      <c r="N3" s="305"/>
      <c r="O3" s="305"/>
      <c r="P3" s="305"/>
      <c r="Q3" s="305"/>
      <c r="R3" s="305"/>
      <c r="S3" s="305"/>
      <c r="T3" s="305"/>
      <c r="U3" s="305"/>
      <c r="V3" s="305"/>
      <c r="W3" s="305"/>
    </row>
    <row r="4" spans="1:23" s="3" customFormat="1" ht="45" customHeight="1">
      <c r="A4" s="306" t="s">
        <v>90</v>
      </c>
      <c r="B4" s="306"/>
      <c r="C4" s="307"/>
      <c r="D4" s="9"/>
      <c r="E4" s="9"/>
      <c r="F4" s="9"/>
      <c r="G4" s="10"/>
      <c r="H4" s="10"/>
      <c r="I4" s="308" t="s">
        <v>91</v>
      </c>
      <c r="J4" s="306"/>
      <c r="K4" s="307"/>
      <c r="L4" s="30"/>
      <c r="M4" s="306" t="s">
        <v>92</v>
      </c>
      <c r="N4" s="306"/>
      <c r="O4" s="307"/>
      <c r="P4" s="9"/>
      <c r="Q4" s="9"/>
      <c r="R4" s="9"/>
      <c r="S4" s="10"/>
      <c r="T4" s="10"/>
      <c r="U4" s="308" t="s">
        <v>93</v>
      </c>
      <c r="V4" s="306"/>
      <c r="W4" s="307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PV'!$G$2/(1+7%)^'Colorectal Benefit'!B7)</f>
        <v>13493.344341506783</v>
      </c>
      <c r="I7">
        <v>55</v>
      </c>
      <c r="J7">
        <v>19</v>
      </c>
      <c r="K7" s="1">
        <f>('Data &amp; PV'!$G$2/(1+7%)^'Colorectal Benefit'!J7)</f>
        <v>9620.568030508497</v>
      </c>
      <c r="M7">
        <v>50</v>
      </c>
      <c r="N7">
        <v>14</v>
      </c>
      <c r="O7" s="57">
        <f>('Data &amp; PV'!$J$2/(1+0.07)^'Colorectal Benefit'!N7)</f>
        <v>1124.6699989502422</v>
      </c>
      <c r="U7">
        <v>55</v>
      </c>
      <c r="V7">
        <v>19</v>
      </c>
      <c r="W7" s="57">
        <f>('Data &amp; PV'!$J$2/(1+7%)^'Colorectal Benefit'!V7)</f>
        <v>801.87416573143457</v>
      </c>
    </row>
    <row r="8" spans="1:23">
      <c r="A8" s="106">
        <v>51</v>
      </c>
      <c r="B8">
        <v>15</v>
      </c>
      <c r="C8" s="1">
        <f>('Data &amp; PV'!$G$2/(1+7%)^'Colorectal Benefit'!B8)</f>
        <v>12610.602188324096</v>
      </c>
      <c r="I8">
        <v>56</v>
      </c>
      <c r="J8">
        <v>20</v>
      </c>
      <c r="K8" s="1">
        <f>('Data &amp; PV'!$G$2/(1+7%)^'Colorectal Benefit'!J8)</f>
        <v>8991.1850752415867</v>
      </c>
      <c r="M8">
        <v>51</v>
      </c>
      <c r="N8">
        <v>15</v>
      </c>
      <c r="O8" s="57">
        <f>('Data &amp; PV'!$J$2/(1+0.07)^'Colorectal Benefit'!N8)</f>
        <v>1051.093456962843</v>
      </c>
      <c r="U8">
        <v>56</v>
      </c>
      <c r="V8">
        <v>20</v>
      </c>
      <c r="W8" s="57">
        <f>('Data &amp; PV'!$J$2/(1+7%)^'Colorectal Benefit'!V8)</f>
        <v>749.41510816021923</v>
      </c>
    </row>
    <row r="9" spans="1:23">
      <c r="A9" s="106">
        <v>52</v>
      </c>
      <c r="B9">
        <v>16</v>
      </c>
      <c r="C9" s="1">
        <f>('Data &amp; PV'!$G$2/(1+7%)^'Colorectal Benefit'!B9)</f>
        <v>11785.60952179822</v>
      </c>
      <c r="I9">
        <v>57</v>
      </c>
      <c r="J9">
        <v>21</v>
      </c>
      <c r="K9" s="1">
        <f>('Data &amp; PV'!$G$2/(1+7%)^'Colorectal Benefit'!J9)</f>
        <v>8402.9767058332582</v>
      </c>
      <c r="M9">
        <v>52</v>
      </c>
      <c r="N9">
        <v>16</v>
      </c>
      <c r="O9" s="57">
        <f>('Data &amp; PV'!$J$2/(1+0.07)^'Colorectal Benefit'!N9)</f>
        <v>982.33033361013383</v>
      </c>
      <c r="U9">
        <v>57</v>
      </c>
      <c r="V9">
        <v>21</v>
      </c>
      <c r="W9" s="57">
        <f>('Data &amp; PV'!$J$2/(1+7%)^'Colorectal Benefit'!V9)</f>
        <v>700.38795155160676</v>
      </c>
    </row>
    <row r="10" spans="1:23">
      <c r="A10" s="106">
        <v>53</v>
      </c>
      <c r="B10">
        <v>17</v>
      </c>
      <c r="C10" s="1">
        <f>('Data &amp; PV'!$G$2/(1+7%)^'Colorectal Benefit'!B10)</f>
        <v>11014.588338129179</v>
      </c>
      <c r="I10">
        <v>58</v>
      </c>
      <c r="J10">
        <v>22</v>
      </c>
      <c r="K10" s="1">
        <f>('Data &amp; PV'!$G$2/(1+7%)^'Colorectal Benefit'!J10)</f>
        <v>7853.2492577880912</v>
      </c>
      <c r="M10">
        <v>53</v>
      </c>
      <c r="N10">
        <v>17</v>
      </c>
      <c r="O10" s="57">
        <f>('Data &amp; PV'!$J$2/(1+0.07)^'Colorectal Benefit'!N10)</f>
        <v>918.0657323459194</v>
      </c>
      <c r="U10">
        <v>58</v>
      </c>
      <c r="V10">
        <v>22</v>
      </c>
      <c r="W10" s="57">
        <f>('Data &amp; PV'!$J$2/(1+7%)^'Colorectal Benefit'!V10)</f>
        <v>654.56817902019316</v>
      </c>
    </row>
    <row r="11" spans="1:23">
      <c r="A11" s="106">
        <v>54</v>
      </c>
      <c r="B11">
        <v>18</v>
      </c>
      <c r="C11" s="1">
        <f>('Data &amp; PV'!$G$2/(1+7%)^'Colorectal Benefit'!B11)</f>
        <v>10294.007792644092</v>
      </c>
      <c r="I11">
        <v>59</v>
      </c>
      <c r="J11">
        <v>23</v>
      </c>
      <c r="K11" s="1">
        <f>('Data &amp; PV'!$G$2/(1+7%)^'Colorectal Benefit'!J11)</f>
        <v>7339.4852876524219</v>
      </c>
      <c r="M11">
        <v>54</v>
      </c>
      <c r="N11">
        <v>18</v>
      </c>
      <c r="O11" s="57">
        <f>('Data &amp; PV'!$J$2/(1+0.07)^'Colorectal Benefit'!N11)</f>
        <v>858.00535733263496</v>
      </c>
      <c r="U11">
        <v>59</v>
      </c>
      <c r="V11">
        <v>23</v>
      </c>
      <c r="W11" s="57">
        <f>('Data &amp; PV'!$J$2/(1+7%)^'Colorectal Benefit'!V11)</f>
        <v>611.74596170111511</v>
      </c>
    </row>
    <row r="12" spans="1:23" s="3" customFormat="1">
      <c r="A12" s="177" t="s">
        <v>99</v>
      </c>
      <c r="B12" s="177"/>
      <c r="C12" s="4">
        <f>SUM(C6:C11)</f>
        <v>59198.152182402373</v>
      </c>
      <c r="I12" s="177" t="s">
        <v>99</v>
      </c>
      <c r="J12" s="177"/>
      <c r="K12" s="4">
        <f>SUM(K6:K11)</f>
        <v>42207.464357023855</v>
      </c>
      <c r="M12" s="297" t="s">
        <v>99</v>
      </c>
      <c r="N12" s="297"/>
      <c r="O12" s="58">
        <f>SUM(O6:O11)</f>
        <v>4934.1648792017731</v>
      </c>
      <c r="U12" s="297" t="s">
        <v>99</v>
      </c>
      <c r="V12" s="297"/>
      <c r="W12" s="58">
        <f>SUM(W6:W11)</f>
        <v>3517.9913661645692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98" t="s">
        <v>100</v>
      </c>
      <c r="P15" s="299"/>
      <c r="Q15" s="299"/>
      <c r="R15" s="178">
        <f>O12-W12</f>
        <v>1416.173513037204</v>
      </c>
      <c r="W15" s="57"/>
    </row>
    <row r="16" spans="1:23" ht="15.75" thickBot="1">
      <c r="C16" s="298" t="s">
        <v>101</v>
      </c>
      <c r="D16" s="299"/>
      <c r="E16" s="299"/>
      <c r="F16" s="53">
        <f>C12-K12</f>
        <v>16990.687825378518</v>
      </c>
      <c r="O16" s="57"/>
      <c r="W16" s="57"/>
    </row>
    <row r="17" spans="13:23" ht="16.5" customHeight="1">
      <c r="O17" s="57"/>
      <c r="W17" s="57"/>
    </row>
    <row r="18" spans="13:23">
      <c r="O18" s="57"/>
      <c r="U18" s="297"/>
      <c r="V18" s="297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297"/>
      <c r="N23" s="297"/>
      <c r="O23" s="57"/>
    </row>
  </sheetData>
  <mergeCells count="14">
    <mergeCell ref="C16:E16"/>
    <mergeCell ref="A4:C4"/>
    <mergeCell ref="I4:K4"/>
    <mergeCell ref="A1:K2"/>
    <mergeCell ref="A3:K3"/>
    <mergeCell ref="M23:N23"/>
    <mergeCell ref="M12:N12"/>
    <mergeCell ref="U12:V12"/>
    <mergeCell ref="O15:Q15"/>
    <mergeCell ref="M1:W2"/>
    <mergeCell ref="M3:W3"/>
    <mergeCell ref="M4:O4"/>
    <mergeCell ref="U4:W4"/>
    <mergeCell ref="U18:V18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>
      <selection activeCell="W7" sqref="W7:W11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300" t="s">
        <v>102</v>
      </c>
      <c r="B1" s="301"/>
      <c r="C1" s="301"/>
      <c r="D1" s="301"/>
      <c r="E1" s="301"/>
      <c r="F1" s="301"/>
      <c r="G1" s="301"/>
      <c r="H1" s="301"/>
      <c r="I1" s="301"/>
      <c r="J1" s="301"/>
      <c r="K1" s="313"/>
      <c r="M1" s="300" t="s">
        <v>103</v>
      </c>
      <c r="N1" s="301"/>
      <c r="O1" s="301"/>
      <c r="P1" s="301"/>
      <c r="Q1" s="301"/>
      <c r="R1" s="301"/>
      <c r="S1" s="301"/>
      <c r="T1" s="301"/>
      <c r="U1" s="301"/>
      <c r="V1" s="301"/>
      <c r="W1" s="301"/>
    </row>
    <row r="2" spans="1:27">
      <c r="A2" s="302"/>
      <c r="B2" s="303"/>
      <c r="C2" s="303"/>
      <c r="D2" s="303"/>
      <c r="E2" s="303"/>
      <c r="F2" s="303"/>
      <c r="G2" s="303"/>
      <c r="H2" s="303"/>
      <c r="I2" s="303"/>
      <c r="J2" s="303"/>
      <c r="K2" s="314"/>
      <c r="M2" s="302"/>
      <c r="N2" s="303"/>
      <c r="O2" s="303"/>
      <c r="P2" s="303"/>
      <c r="Q2" s="303"/>
      <c r="R2" s="303"/>
      <c r="S2" s="303"/>
      <c r="T2" s="303"/>
      <c r="U2" s="303"/>
      <c r="V2" s="303"/>
      <c r="W2" s="303"/>
    </row>
    <row r="3" spans="1:27" s="3" customFormat="1">
      <c r="A3" s="300" t="s">
        <v>89</v>
      </c>
      <c r="B3" s="301"/>
      <c r="C3" s="301"/>
      <c r="D3" s="301"/>
      <c r="E3" s="301"/>
      <c r="F3" s="301"/>
      <c r="G3" s="301"/>
      <c r="H3" s="301"/>
      <c r="I3" s="301"/>
      <c r="J3" s="301"/>
      <c r="K3" s="313"/>
      <c r="M3" s="304" t="s">
        <v>89</v>
      </c>
      <c r="N3" s="305"/>
      <c r="O3" s="305"/>
      <c r="P3" s="305"/>
      <c r="Q3" s="305"/>
      <c r="R3" s="305"/>
      <c r="S3" s="305"/>
      <c r="T3" s="305"/>
      <c r="U3" s="305"/>
      <c r="V3" s="305"/>
      <c r="W3" s="305"/>
    </row>
    <row r="4" spans="1:27" s="3" customFormat="1" ht="52.5" customHeight="1">
      <c r="A4" s="306" t="s">
        <v>104</v>
      </c>
      <c r="B4" s="306"/>
      <c r="C4" s="307"/>
      <c r="D4" s="9"/>
      <c r="E4" s="9"/>
      <c r="F4" s="9"/>
      <c r="G4" s="10"/>
      <c r="H4" s="10"/>
      <c r="I4" s="308" t="s">
        <v>105</v>
      </c>
      <c r="J4" s="306"/>
      <c r="K4" s="306"/>
      <c r="L4" s="6"/>
      <c r="M4" s="309" t="s">
        <v>106</v>
      </c>
      <c r="N4" s="309"/>
      <c r="O4" s="310"/>
      <c r="P4" s="9"/>
      <c r="Q4" s="9"/>
      <c r="R4" s="9"/>
      <c r="S4" s="10"/>
      <c r="T4" s="10"/>
      <c r="U4" s="308" t="s">
        <v>107</v>
      </c>
      <c r="V4" s="306"/>
      <c r="W4" s="307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PV'!$G$3/(1+7%)^'Heart Disease Benefit'!B7)</f>
        <v>4100.5602010054508</v>
      </c>
      <c r="I7">
        <v>60</v>
      </c>
      <c r="J7">
        <v>24</v>
      </c>
      <c r="K7" s="1">
        <f>('Data &amp; PV'!$G$3/(1+7%)^'Heart Disease Benefit'!J7)</f>
        <v>2923.6427514576599</v>
      </c>
      <c r="M7">
        <v>55</v>
      </c>
      <c r="N7">
        <v>19</v>
      </c>
      <c r="O7" s="1">
        <f>('Data &amp; PV'!$J$3/(1+7%)^tangheart13[[#This Row],[year]])</f>
        <v>946.21151556309269</v>
      </c>
      <c r="U7">
        <v>60</v>
      </c>
      <c r="V7">
        <v>24</v>
      </c>
      <c r="W7" s="1">
        <f>('Data &amp; PV'!$J$3/(1+7%)^tangheart14[[#This Row],[year]])</f>
        <v>674.6357334647812</v>
      </c>
    </row>
    <row r="8" spans="1:27">
      <c r="A8">
        <v>56</v>
      </c>
      <c r="B8">
        <v>20</v>
      </c>
      <c r="C8" s="1">
        <f>('Data &amp; PV'!$G$3/(1+7%)^'Heart Disease Benefit'!B8)</f>
        <v>3832.2992532761223</v>
      </c>
      <c r="I8">
        <v>61</v>
      </c>
      <c r="J8">
        <v>25</v>
      </c>
      <c r="K8" s="1">
        <f>('Data &amp; PV'!$G$3/(1+7%)^'Heart Disease Benefit'!J8)</f>
        <v>2732.3764032314575</v>
      </c>
      <c r="M8">
        <v>56</v>
      </c>
      <c r="N8">
        <v>20</v>
      </c>
      <c r="O8" s="1">
        <f>('Data &amp; PV'!$J$3/(1+7%)^tangheart13[[#This Row],[year]])</f>
        <v>884.30982762905865</v>
      </c>
      <c r="U8">
        <v>61</v>
      </c>
      <c r="V8">
        <v>25</v>
      </c>
      <c r="W8" s="1">
        <f>('Data &amp; PV'!$J$3/(1+7%)^tangheart14[[#This Row],[year]])</f>
        <v>630.5006854811038</v>
      </c>
    </row>
    <row r="9" spans="1:27">
      <c r="A9">
        <v>57</v>
      </c>
      <c r="B9">
        <v>21</v>
      </c>
      <c r="C9" s="1">
        <f>('Data &amp; PV'!$G$3/(1+7%)^'Heart Disease Benefit'!B9)</f>
        <v>3581.588087173946</v>
      </c>
      <c r="I9">
        <v>62</v>
      </c>
      <c r="J9">
        <v>26</v>
      </c>
      <c r="K9" s="1">
        <f>('Data &amp; PV'!$G$3/(1+7%)^'Heart Disease Benefit'!J9)</f>
        <v>2553.6228067583716</v>
      </c>
      <c r="M9">
        <v>57</v>
      </c>
      <c r="N9">
        <v>21</v>
      </c>
      <c r="O9" s="1">
        <f>('Data &amp; PV'!$J$3/(1+7%)^tangheart13[[#This Row],[year]])</f>
        <v>826.45778283089589</v>
      </c>
      <c r="U9">
        <v>62</v>
      </c>
      <c r="V9">
        <v>26</v>
      </c>
      <c r="W9" s="1">
        <f>('Data &amp; PV'!$J$3/(1+7%)^tangheart14[[#This Row],[year]])</f>
        <v>589.25297708514381</v>
      </c>
    </row>
    <row r="10" spans="1:27">
      <c r="A10">
        <v>58</v>
      </c>
      <c r="B10">
        <v>22</v>
      </c>
      <c r="C10" s="1">
        <f>('Data &amp; PV'!$G$3/(1+7%)^'Heart Disease Benefit'!B10)</f>
        <v>3347.2785861438747</v>
      </c>
      <c r="I10">
        <v>63</v>
      </c>
      <c r="J10">
        <v>27</v>
      </c>
      <c r="K10" s="1">
        <f>('Data &amp; PV'!$G$3/(1+7%)^'Heart Disease Benefit'!J10)</f>
        <v>2386.563370802216</v>
      </c>
      <c r="M10">
        <v>58</v>
      </c>
      <c r="N10">
        <v>22</v>
      </c>
      <c r="O10" s="1">
        <f>('Data &amp; PV'!$J$3/(1+7%)^tangheart13[[#This Row],[year]])</f>
        <v>772.39045124382801</v>
      </c>
      <c r="U10">
        <v>63</v>
      </c>
      <c r="V10">
        <v>27</v>
      </c>
      <c r="W10" s="1">
        <f>('Data &amp; PV'!$J$3/(1+7%)^tangheart14[[#This Row],[year]])</f>
        <v>550.70371690200341</v>
      </c>
    </row>
    <row r="11" spans="1:27">
      <c r="A11">
        <v>59</v>
      </c>
      <c r="B11">
        <v>23</v>
      </c>
      <c r="C11" s="1">
        <f>('Data &amp; PV'!$G$3/(1+7%)^'Heart Disease Benefit'!B11)</f>
        <v>3128.297744059696</v>
      </c>
      <c r="I11">
        <v>64</v>
      </c>
      <c r="J11">
        <v>28</v>
      </c>
      <c r="K11" s="1">
        <f>('Data &amp; PV'!$G$3/(1+7%)^'Heart Disease Benefit'!J11)</f>
        <v>2230.4330568245014</v>
      </c>
      <c r="M11">
        <v>59</v>
      </c>
      <c r="N11">
        <v>23</v>
      </c>
      <c r="O11" s="1">
        <f>('Data &amp; PV'!$J$3/(1+7%)^tangheart13[[#This Row],[year]])</f>
        <v>721.86023480731581</v>
      </c>
      <c r="U11">
        <v>64</v>
      </c>
      <c r="V11">
        <v>28</v>
      </c>
      <c r="W11" s="1">
        <f>('Data &amp; PV'!$J$3/(1+7%)^tangheart14[[#This Row],[year]])</f>
        <v>514.67637093645192</v>
      </c>
    </row>
    <row r="12" spans="1:27" s="3" customFormat="1">
      <c r="A12" s="177" t="s">
        <v>99</v>
      </c>
      <c r="B12" s="177"/>
      <c r="C12" s="4">
        <f>SUM(C6:C11)</f>
        <v>17990.02387165909</v>
      </c>
      <c r="I12" s="177" t="s">
        <v>99</v>
      </c>
      <c r="J12" s="177"/>
      <c r="K12" s="4">
        <f>SUM(K6:K11)</f>
        <v>12826.638389074207</v>
      </c>
      <c r="M12" s="177" t="s">
        <v>99</v>
      </c>
      <c r="N12" s="177"/>
      <c r="O12" s="4">
        <f>SUM(O6:O11)</f>
        <v>4151.2298120741907</v>
      </c>
      <c r="U12" s="177" t="s">
        <v>99</v>
      </c>
      <c r="V12" s="177"/>
      <c r="W12" s="4">
        <f>SUM(W6:W11)</f>
        <v>2959.7694838694838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1" t="s">
        <v>101</v>
      </c>
      <c r="E16" s="312"/>
      <c r="F16" s="312"/>
      <c r="G16" s="53">
        <f>C12-K12</f>
        <v>5163.385482584883</v>
      </c>
      <c r="P16" s="311" t="s">
        <v>109</v>
      </c>
      <c r="Q16" s="312"/>
      <c r="R16" s="312"/>
      <c r="S16" s="53">
        <f>O12-W12</f>
        <v>1191.4603282047069</v>
      </c>
    </row>
  </sheetData>
  <mergeCells count="10">
    <mergeCell ref="A1:K2"/>
    <mergeCell ref="I4:K4"/>
    <mergeCell ref="A4:C4"/>
    <mergeCell ref="A3:K3"/>
    <mergeCell ref="D16:F16"/>
    <mergeCell ref="M1:W2"/>
    <mergeCell ref="M3:W3"/>
    <mergeCell ref="M4:O4"/>
    <mergeCell ref="U4:W4"/>
    <mergeCell ref="P16:R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Normal="100" workbookViewId="0">
      <pane xSplit="11" topLeftCell="P1" activePane="topRight" state="frozen"/>
      <selection pane="topRight" activeCell="X7" sqref="X7:X16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0.14062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0" t="s">
        <v>110</v>
      </c>
      <c r="B1" s="301"/>
      <c r="C1" s="301" t="s">
        <v>111</v>
      </c>
      <c r="D1" s="301" t="s">
        <v>112</v>
      </c>
      <c r="E1" s="301"/>
      <c r="F1" s="301"/>
      <c r="G1" s="301"/>
      <c r="H1" s="301"/>
      <c r="I1" s="301"/>
      <c r="J1" s="301"/>
      <c r="K1" s="301"/>
      <c r="L1" s="315"/>
      <c r="M1" s="27"/>
      <c r="N1" s="300" t="s">
        <v>113</v>
      </c>
      <c r="O1" s="301"/>
      <c r="P1" s="301"/>
      <c r="Q1" s="301"/>
      <c r="R1" s="301"/>
      <c r="S1" s="301"/>
      <c r="T1" s="301"/>
      <c r="U1" s="301"/>
      <c r="V1" s="301"/>
      <c r="W1" s="301"/>
      <c r="X1" s="301"/>
    </row>
    <row r="2" spans="1:24">
      <c r="A2" s="302"/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15"/>
      <c r="M2" s="27"/>
      <c r="N2" s="302"/>
      <c r="O2" s="303"/>
      <c r="P2" s="303"/>
      <c r="Q2" s="303"/>
      <c r="R2" s="303"/>
      <c r="S2" s="303"/>
      <c r="T2" s="303"/>
      <c r="U2" s="303"/>
      <c r="V2" s="303"/>
      <c r="W2" s="303"/>
      <c r="X2" s="303"/>
    </row>
    <row r="3" spans="1:24" s="3" customFormat="1">
      <c r="A3" s="300" t="s">
        <v>89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180"/>
      <c r="M3" s="29"/>
      <c r="N3" s="304" t="s">
        <v>89</v>
      </c>
      <c r="O3" s="305"/>
      <c r="P3" s="305"/>
      <c r="Q3" s="305"/>
      <c r="R3" s="305"/>
      <c r="S3" s="305"/>
      <c r="T3" s="305"/>
      <c r="U3" s="305"/>
      <c r="V3" s="305"/>
      <c r="W3" s="305"/>
      <c r="X3" s="305"/>
    </row>
    <row r="4" spans="1:24" s="3" customFormat="1" ht="45.75" customHeight="1">
      <c r="A4" s="316" t="s">
        <v>114</v>
      </c>
      <c r="B4" s="317"/>
      <c r="C4" s="318"/>
      <c r="D4" s="44"/>
      <c r="E4" s="44"/>
      <c r="F4" s="44"/>
      <c r="G4" s="45"/>
      <c r="H4" s="45"/>
      <c r="I4" s="319" t="s">
        <v>115</v>
      </c>
      <c r="J4" s="317"/>
      <c r="K4" s="318"/>
      <c r="L4" s="182"/>
      <c r="M4" s="29"/>
      <c r="N4" s="306" t="s">
        <v>116</v>
      </c>
      <c r="O4" s="306"/>
      <c r="P4" s="307"/>
      <c r="Q4" s="9"/>
      <c r="R4" s="9"/>
      <c r="S4" s="9"/>
      <c r="T4" s="10"/>
      <c r="U4" s="10"/>
      <c r="V4" s="308" t="s">
        <v>117</v>
      </c>
      <c r="W4" s="306"/>
      <c r="X4" s="307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PV'!$G$4/(1+7%)^B7)</f>
        <v>12501.54681361917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PV'!$G$4/(1+7%)^J7)</f>
        <v>8913.4301002785614</v>
      </c>
      <c r="N7" s="17">
        <v>45</v>
      </c>
      <c r="O7" s="12">
        <v>9</v>
      </c>
      <c r="P7" s="13">
        <f>('Data &amp; PV'!$J$4/(1+7%)^Table95[[#This Row],[year]])</f>
        <v>2050.6302095422379</v>
      </c>
      <c r="V7">
        <v>50</v>
      </c>
      <c r="W7">
        <v>14</v>
      </c>
      <c r="X7" s="15">
        <f>('Data &amp; PV'!$J$4/(1+7%)^Table914[[#This Row],[year]])</f>
        <v>1462.0709986353149</v>
      </c>
    </row>
    <row r="8" spans="1:24">
      <c r="A8" s="16">
        <v>46</v>
      </c>
      <c r="B8" s="14">
        <v>10</v>
      </c>
      <c r="C8" s="13">
        <f>('Data &amp; PV'!$G$4/(1+7%)^B8)</f>
        <v>11683.688610859039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PV'!$G$4/(1+7%)^J8)</f>
        <v>8330.3085049332349</v>
      </c>
      <c r="N8" s="16">
        <v>46</v>
      </c>
      <c r="O8" s="14">
        <v>10</v>
      </c>
      <c r="P8" s="13">
        <f>('Data &amp; PV'!$J$4/(1+7%)^Table95[[#This Row],[year]])</f>
        <v>1916.476831347886</v>
      </c>
      <c r="V8">
        <v>51</v>
      </c>
      <c r="W8">
        <v>15</v>
      </c>
      <c r="X8" s="15">
        <f>('Data &amp; PV'!$J$4/(1+7%)^Table914[[#This Row],[year]])</f>
        <v>1366.4214940516958</v>
      </c>
    </row>
    <row r="9" spans="1:24">
      <c r="A9" s="17">
        <v>47</v>
      </c>
      <c r="B9" s="12">
        <v>11</v>
      </c>
      <c r="C9" s="13">
        <f>('Data &amp; PV'!$G$4/(1+7%)^B9)</f>
        <v>10919.335150335548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PV'!$G$4/(1+7%)^J9)</f>
        <v>7785.3350513394726</v>
      </c>
      <c r="N9" s="17">
        <v>47</v>
      </c>
      <c r="O9" s="12">
        <v>11</v>
      </c>
      <c r="P9" s="13">
        <f>('Data &amp; PV'!$J$4/(1+7%)^Table95[[#This Row],[year]])</f>
        <v>1791.0998423812018</v>
      </c>
      <c r="T9" s="25"/>
      <c r="U9" s="25"/>
      <c r="V9">
        <v>52</v>
      </c>
      <c r="W9">
        <v>16</v>
      </c>
      <c r="X9" s="15">
        <f>('Data &amp; PV'!$J$4/(1+7%)^Table914[[#This Row],[year]])</f>
        <v>1277.029433693174</v>
      </c>
    </row>
    <row r="10" spans="1:24">
      <c r="A10" s="17">
        <v>48</v>
      </c>
      <c r="B10" s="14">
        <v>12</v>
      </c>
      <c r="C10" s="13">
        <f>('Data &amp; PV'!$G$4/(1+7%)^B10)</f>
        <v>10204.986121808926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PV'!$G$4/(1+7%)^J10)</f>
        <v>7276.0140666724046</v>
      </c>
      <c r="N10" s="17">
        <v>48</v>
      </c>
      <c r="O10" s="14">
        <v>12</v>
      </c>
      <c r="P10" s="13">
        <f>('Data &amp; PV'!$J$4/(1+7%)^Table95[[#This Row],[year]])</f>
        <v>1673.9250863375721</v>
      </c>
      <c r="T10" s="25"/>
      <c r="U10" s="25"/>
      <c r="V10">
        <v>53</v>
      </c>
      <c r="W10">
        <v>17</v>
      </c>
      <c r="X10" s="15">
        <f>('Data &amp; PV'!$J$4/(1+7%)^Table914[[#This Row],[year]])</f>
        <v>1193.4854520496954</v>
      </c>
    </row>
    <row r="11" spans="1:24">
      <c r="A11" s="16">
        <v>49</v>
      </c>
      <c r="B11" s="12">
        <v>13</v>
      </c>
      <c r="C11" s="13">
        <f>('Data &amp; PV'!$G$4/(1+7%)^B11)</f>
        <v>9537.3702072980614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PV'!$G$4/(1+7%)^J11)</f>
        <v>6800.0131464228079</v>
      </c>
      <c r="N11" s="16">
        <v>49</v>
      </c>
      <c r="O11" s="12">
        <v>13</v>
      </c>
      <c r="P11" s="13">
        <f>('Data &amp; PV'!$J$4/(1+7%)^Table95[[#This Row],[year]])</f>
        <v>1564.4159685397867</v>
      </c>
      <c r="T11" s="25"/>
      <c r="U11" s="25"/>
      <c r="V11">
        <v>54</v>
      </c>
      <c r="W11">
        <v>18</v>
      </c>
      <c r="X11" s="15">
        <f>('Data &amp; PV'!$J$4/(1+7%)^Table914[[#This Row],[year]])</f>
        <v>1115.4069645324255</v>
      </c>
    </row>
    <row r="12" spans="1:24">
      <c r="A12" s="17">
        <v>50</v>
      </c>
      <c r="B12" s="14">
        <v>14</v>
      </c>
      <c r="C12" s="13">
        <f>('Data &amp; PV'!$G$4/(1+7%)^B12)</f>
        <v>8913.4301002785614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PV'!$G$4/(1+7%)^J12)</f>
        <v>6355.1524732923435</v>
      </c>
      <c r="N12" s="17">
        <v>50</v>
      </c>
      <c r="O12" s="14">
        <v>14</v>
      </c>
      <c r="P12" s="13">
        <f>('Data &amp; PV'!$J$4/(1+7%)^Table95[[#This Row],[year]])</f>
        <v>1462.0709986353149</v>
      </c>
      <c r="T12" s="25"/>
      <c r="U12" s="25"/>
      <c r="V12">
        <v>55</v>
      </c>
      <c r="W12">
        <v>19</v>
      </c>
      <c r="X12" s="15">
        <f>('Data &amp; PV'!$J$4/(1+7%)^Table914[[#This Row],[year]])</f>
        <v>1042.4364154508648</v>
      </c>
    </row>
    <row r="13" spans="1:24">
      <c r="A13" s="17">
        <v>51</v>
      </c>
      <c r="B13" s="12">
        <v>15</v>
      </c>
      <c r="C13" s="13">
        <f>('Data &amp; PV'!$G$4/(1+7%)^B13)</f>
        <v>8330.3085049332349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PV'!$G$4/(1+7%)^J13)</f>
        <v>5939.3948348526574</v>
      </c>
      <c r="N13" s="17">
        <v>51</v>
      </c>
      <c r="O13" s="12">
        <v>15</v>
      </c>
      <c r="P13" s="13">
        <f>('Data &amp; PV'!$J$4/(1+7%)^Table95[[#This Row],[year]])</f>
        <v>1366.4214940516958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PV'!$J$4/(1+7%)^Table914[[#This Row],[year]])</f>
        <v>974.23964060828496</v>
      </c>
    </row>
    <row r="14" spans="1:24">
      <c r="A14" s="16">
        <v>52</v>
      </c>
      <c r="B14" s="14">
        <v>16</v>
      </c>
      <c r="C14" s="13">
        <f>('Data &amp; PV'!$G$4/(1+7%)^B14)</f>
        <v>7785.3350513394726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PV'!$G$4/(1+7%)^J14)</f>
        <v>5550.8362942548201</v>
      </c>
      <c r="N14" s="16">
        <v>52</v>
      </c>
      <c r="O14" s="14">
        <v>16</v>
      </c>
      <c r="P14" s="13">
        <f>('Data &amp; PV'!$J$4/(1+7%)^Table95[[#This Row],[year]])</f>
        <v>1277.029433693174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PV'!$J$4/(1+7%)^Table914[[#This Row],[year]])</f>
        <v>910.50433701708869</v>
      </c>
    </row>
    <row r="15" spans="1:24">
      <c r="A15" s="17">
        <v>53</v>
      </c>
      <c r="B15" s="12">
        <v>17</v>
      </c>
      <c r="C15" s="13">
        <f>('Data &amp; PV'!$G$4/(1+7%)^B15)</f>
        <v>7276.0140666724046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PV'!$G$4/(1+7%)^J15)</f>
        <v>5187.6974712661868</v>
      </c>
      <c r="N15" s="17">
        <v>53</v>
      </c>
      <c r="O15" s="12">
        <v>17</v>
      </c>
      <c r="P15" s="13">
        <f>('Data &amp; PV'!$J$4/(1+7%)^Table95[[#This Row],[year]])</f>
        <v>1193.4854520496954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PV'!$J$4/(1+7%)^Table914[[#This Row],[year]])</f>
        <v>850.93863272625117</v>
      </c>
    </row>
    <row r="16" spans="1:24">
      <c r="A16" s="17">
        <v>54</v>
      </c>
      <c r="B16" s="14">
        <v>18</v>
      </c>
      <c r="C16" s="13">
        <f>('Data &amp; PV'!$G$4/(1+7%)^B16)</f>
        <v>6800.0131464228079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PV'!$G$4/(1+7%)^J16)</f>
        <v>4848.3153937067163</v>
      </c>
      <c r="N16" s="17">
        <v>54</v>
      </c>
      <c r="O16" s="14">
        <v>18</v>
      </c>
      <c r="P16" s="13">
        <f>('Data &amp; PV'!$J$4/(1+7%)^Table95[[#This Row],[year]])</f>
        <v>1115.4069645324255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PV'!$J$4/(1+7%)^Table914[[#This Row],[year]])</f>
        <v>795.26975021144972</v>
      </c>
    </row>
    <row r="17" spans="1:24" s="3" customFormat="1" ht="15.75" thickBot="1">
      <c r="A17" s="20" t="s">
        <v>119</v>
      </c>
      <c r="B17" s="20"/>
      <c r="C17" s="21">
        <f>SUM(C6:C16)</f>
        <v>93952.027773567213</v>
      </c>
      <c r="D17" s="26"/>
      <c r="E17" s="26"/>
      <c r="F17" s="26"/>
      <c r="G17" s="26"/>
      <c r="H17" s="26"/>
      <c r="I17" s="3" t="s">
        <v>119</v>
      </c>
      <c r="K17" s="4">
        <f>SUM(K6:K16)</f>
        <v>66986.497337019187</v>
      </c>
      <c r="N17" s="20" t="s">
        <v>119</v>
      </c>
      <c r="O17" s="20"/>
      <c r="P17" s="21">
        <f>SUM(P6:P16)</f>
        <v>15410.962281110989</v>
      </c>
      <c r="Q17" s="32"/>
      <c r="R17" s="24"/>
      <c r="S17" s="31"/>
      <c r="T17" s="24"/>
      <c r="V17" s="20" t="s">
        <v>119</v>
      </c>
      <c r="W17" s="20"/>
      <c r="X17" s="21">
        <f>SUM(X6:X16)</f>
        <v>10987.803118976244</v>
      </c>
    </row>
    <row r="18" spans="1:24" ht="15.75" thickBot="1">
      <c r="D18" s="311" t="s">
        <v>101</v>
      </c>
      <c r="E18" s="312"/>
      <c r="F18" s="312"/>
      <c r="G18" s="53">
        <f>C17-K17</f>
        <v>26965.530436548026</v>
      </c>
      <c r="Q18" s="311" t="s">
        <v>120</v>
      </c>
      <c r="R18" s="312"/>
      <c r="S18" s="312"/>
      <c r="T18" s="53"/>
      <c r="U18" s="179">
        <f>P17-X17</f>
        <v>4423.1591621347452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D18:F18"/>
    <mergeCell ref="A1:K2"/>
    <mergeCell ref="L1:L2"/>
    <mergeCell ref="A3:K3"/>
    <mergeCell ref="A4:C4"/>
    <mergeCell ref="I4:K4"/>
    <mergeCell ref="Q18:S18"/>
    <mergeCell ref="N1:X2"/>
    <mergeCell ref="N3:X3"/>
    <mergeCell ref="N4:P4"/>
    <mergeCell ref="V4:X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topLeftCell="F3" workbookViewId="0">
      <selection activeCell="X7" sqref="X7:X26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0" t="s">
        <v>121</v>
      </c>
      <c r="B1" s="301"/>
      <c r="C1" s="301"/>
      <c r="D1" s="301"/>
      <c r="E1" s="301"/>
      <c r="F1" s="301"/>
      <c r="G1" s="301"/>
      <c r="H1" s="301"/>
      <c r="I1" s="301"/>
      <c r="J1" s="301"/>
      <c r="K1" s="313"/>
      <c r="L1" s="320"/>
      <c r="O1" s="300" t="s">
        <v>122</v>
      </c>
      <c r="P1" s="301"/>
      <c r="Q1" s="301"/>
      <c r="R1" s="301"/>
      <c r="S1" s="301"/>
      <c r="T1" s="301"/>
      <c r="U1" s="301"/>
      <c r="V1" s="301"/>
      <c r="W1" s="301"/>
      <c r="X1" s="301"/>
      <c r="Y1" s="301"/>
    </row>
    <row r="2" spans="1:28">
      <c r="A2" s="302"/>
      <c r="B2" s="303"/>
      <c r="C2" s="303"/>
      <c r="D2" s="303"/>
      <c r="E2" s="303"/>
      <c r="F2" s="303"/>
      <c r="G2" s="303"/>
      <c r="H2" s="303"/>
      <c r="I2" s="303"/>
      <c r="J2" s="303"/>
      <c r="K2" s="314"/>
      <c r="L2" s="321"/>
      <c r="O2" s="302"/>
      <c r="P2" s="303"/>
      <c r="Q2" s="303"/>
      <c r="R2" s="303"/>
      <c r="S2" s="303"/>
      <c r="T2" s="303"/>
      <c r="U2" s="303"/>
      <c r="V2" s="303"/>
      <c r="W2" s="303"/>
      <c r="X2" s="303"/>
      <c r="Y2" s="303"/>
    </row>
    <row r="3" spans="1:28" s="3" customFormat="1">
      <c r="A3" s="300" t="s">
        <v>89</v>
      </c>
      <c r="B3" s="301"/>
      <c r="C3" s="301"/>
      <c r="D3" s="301"/>
      <c r="E3" s="301"/>
      <c r="F3" s="301"/>
      <c r="G3" s="301"/>
      <c r="H3" s="301"/>
      <c r="I3" s="301"/>
      <c r="J3" s="301"/>
      <c r="K3" s="313"/>
      <c r="L3" s="181"/>
      <c r="O3" s="304" t="s">
        <v>89</v>
      </c>
      <c r="P3" s="305"/>
      <c r="Q3" s="305"/>
      <c r="R3" s="305"/>
      <c r="S3" s="305"/>
      <c r="T3" s="305"/>
      <c r="U3" s="305"/>
      <c r="V3" s="305"/>
      <c r="W3" s="305"/>
      <c r="X3" s="305"/>
      <c r="Y3" s="305"/>
    </row>
    <row r="4" spans="1:28" s="3" customFormat="1" ht="55.5" customHeight="1">
      <c r="A4" s="322" t="s">
        <v>123</v>
      </c>
      <c r="B4" s="322"/>
      <c r="C4" s="323"/>
      <c r="D4" s="9"/>
      <c r="E4" s="9"/>
      <c r="F4" s="9"/>
      <c r="G4" s="10"/>
      <c r="H4" s="10"/>
      <c r="I4" s="324" t="s">
        <v>124</v>
      </c>
      <c r="J4" s="322"/>
      <c r="K4" s="322"/>
      <c r="L4" s="34"/>
      <c r="O4" s="306" t="s">
        <v>125</v>
      </c>
      <c r="P4" s="306"/>
      <c r="Q4" s="307"/>
      <c r="R4" s="9"/>
      <c r="S4" s="9"/>
      <c r="T4" s="9"/>
      <c r="U4" s="10"/>
      <c r="V4" s="10"/>
      <c r="W4" s="308" t="s">
        <v>126</v>
      </c>
      <c r="X4" s="306"/>
      <c r="Y4" s="307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(0/(1+5%)^B6)</f>
        <v>0</v>
      </c>
      <c r="D6" s="79"/>
      <c r="E6" s="79"/>
      <c r="F6" s="79"/>
      <c r="I6" t="s">
        <v>128</v>
      </c>
      <c r="J6">
        <v>10</v>
      </c>
      <c r="K6" s="1">
        <f>(0/(1+5%)^J6)</f>
        <v>0</v>
      </c>
      <c r="L6" s="79"/>
      <c r="M6" s="79"/>
      <c r="N6" s="79"/>
      <c r="O6" s="106" t="s">
        <v>127</v>
      </c>
      <c r="P6">
        <v>5</v>
      </c>
      <c r="Q6" s="1">
        <f>(0/(1+5%)^Table1116[[#This Row],[year]])</f>
        <v>0</v>
      </c>
      <c r="R6" s="90"/>
      <c r="S6" s="79"/>
      <c r="T6" s="79"/>
      <c r="V6" t="s">
        <v>128</v>
      </c>
      <c r="W6">
        <v>10</v>
      </c>
      <c r="X6" s="1">
        <f>(0/(1+5%)^Table1221[[#This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PV'!$G$5/(1+7%)^B7)</f>
        <v>536.20592200894396</v>
      </c>
      <c r="D7" s="79"/>
      <c r="E7" s="79"/>
      <c r="F7" s="79"/>
      <c r="I7">
        <v>47</v>
      </c>
      <c r="J7">
        <v>11</v>
      </c>
      <c r="K7" s="1">
        <f>('Data &amp; PV'!$G$5/(1+7%)^J7)</f>
        <v>382.30741174967471</v>
      </c>
      <c r="L7" s="79"/>
      <c r="M7" s="79"/>
      <c r="N7" s="79"/>
      <c r="O7" s="106">
        <v>42</v>
      </c>
      <c r="P7">
        <v>6</v>
      </c>
      <c r="Q7" s="1">
        <f>('Data &amp; PV'!$J$5/(1+7%)^Table1116[[#This Row],[year]])</f>
        <v>1545.913959254309</v>
      </c>
      <c r="R7" s="79"/>
      <c r="S7" s="79"/>
      <c r="T7" s="79"/>
      <c r="V7">
        <v>47</v>
      </c>
      <c r="W7">
        <v>11</v>
      </c>
      <c r="X7" s="1">
        <f>('Data &amp; PV'!$J$5/(1+7%)^Table1221[[#This Row],[year]])</f>
        <v>1102.215287619201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PV'!$G$5/(1+7%)^B8)</f>
        <v>501.12702991490085</v>
      </c>
      <c r="D8" s="79"/>
      <c r="E8" s="79"/>
      <c r="F8" s="79"/>
      <c r="I8">
        <v>48</v>
      </c>
      <c r="J8">
        <v>12</v>
      </c>
      <c r="K8" s="1">
        <f>('Data &amp; PV'!$G$5/(1+7%)^J8)</f>
        <v>357.2966464950232</v>
      </c>
      <c r="O8" s="106">
        <v>43</v>
      </c>
      <c r="P8">
        <v>7</v>
      </c>
      <c r="Q8" s="1">
        <f>('Data &amp; PV'!$J$5/(1+7%)^Table1116[[#This Row],[year]])</f>
        <v>1444.7794011722515</v>
      </c>
      <c r="R8" s="79"/>
      <c r="S8" s="79"/>
      <c r="T8" s="79"/>
      <c r="V8">
        <v>48</v>
      </c>
      <c r="W8">
        <v>12</v>
      </c>
      <c r="X8" s="1">
        <f>('Data &amp; PV'!$J$5/(1+7%)^Table1221[[#This Row],[year]])</f>
        <v>1030.1077454385058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PV'!$G$5/(1+7%)^B9)</f>
        <v>468.34301861205688</v>
      </c>
      <c r="I9">
        <v>49</v>
      </c>
      <c r="J9">
        <v>13</v>
      </c>
      <c r="K9" s="1">
        <f>('Data &amp; PV'!$G$5/(1+7%)^J9)</f>
        <v>333.92209952805905</v>
      </c>
      <c r="O9" s="106">
        <v>44</v>
      </c>
      <c r="P9">
        <v>8</v>
      </c>
      <c r="Q9" s="1">
        <f>('Data &amp; PV'!$J$5/(1+7%)^Table1116[[#This Row],[year]])</f>
        <v>1350.2611225908893</v>
      </c>
      <c r="V9">
        <v>49</v>
      </c>
      <c r="W9">
        <v>13</v>
      </c>
      <c r="X9" s="1">
        <f>('Data &amp; PV'!$J$5/(1+7%)^Table1221[[#This Row],[year]])</f>
        <v>962.71751910140722</v>
      </c>
    </row>
    <row r="10" spans="1:28">
      <c r="A10" s="106">
        <v>45</v>
      </c>
      <c r="B10">
        <v>9</v>
      </c>
      <c r="C10" s="1">
        <f>('Data &amp; PV'!$G$5/(1+7%)^B10)</f>
        <v>437.70375571220262</v>
      </c>
      <c r="I10">
        <v>50</v>
      </c>
      <c r="J10">
        <v>14</v>
      </c>
      <c r="K10" s="1">
        <f>('Data &amp; PV'!$G$5/(1+7%)^J10)</f>
        <v>312.07672853089628</v>
      </c>
      <c r="O10" s="106">
        <v>45</v>
      </c>
      <c r="P10">
        <v>9</v>
      </c>
      <c r="Q10" s="1">
        <f>('Data &amp; PV'!$J$5/(1+7%)^Table1116[[#This Row],[year]])</f>
        <v>1261.9262827952234</v>
      </c>
      <c r="V10">
        <v>50</v>
      </c>
      <c r="W10">
        <v>14</v>
      </c>
      <c r="X10" s="1">
        <f>('Data &amp; PV'!$J$5/(1+7%)^Table1221[[#This Row],[year]])</f>
        <v>899.73599916019373</v>
      </c>
    </row>
    <row r="11" spans="1:28">
      <c r="A11" s="106">
        <v>46</v>
      </c>
      <c r="B11">
        <v>10</v>
      </c>
      <c r="C11" s="1">
        <f>('Data &amp; PV'!$G$5/(1+7%)^B11)</f>
        <v>409.068930572152</v>
      </c>
      <c r="I11">
        <v>51</v>
      </c>
      <c r="J11">
        <v>15</v>
      </c>
      <c r="K11" s="1">
        <f>('Data &amp; PV'!$G$5/(1+7%)^J11)</f>
        <v>291.66049395410863</v>
      </c>
      <c r="O11" s="106">
        <v>46</v>
      </c>
      <c r="P11">
        <v>10</v>
      </c>
      <c r="Q11" s="1">
        <f>('Data &amp; PV'!$J$5/(1+7%)^Table1116[[#This Row],[year]])</f>
        <v>1179.3703577525453</v>
      </c>
      <c r="V11">
        <v>51</v>
      </c>
      <c r="W11">
        <v>15</v>
      </c>
      <c r="X11" s="1">
        <f>('Data &amp; PV'!$J$5/(1+7%)^Table1221[[#This Row],[year]])</f>
        <v>840.87476557027446</v>
      </c>
    </row>
    <row r="12" spans="1:28" s="3" customFormat="1">
      <c r="A12" s="106">
        <v>47</v>
      </c>
      <c r="B12">
        <v>11</v>
      </c>
      <c r="C12" s="1">
        <f>('Data &amp; PV'!$G$5/(1+7%)^B12)</f>
        <v>382.30741174967471</v>
      </c>
      <c r="I12">
        <v>52</v>
      </c>
      <c r="J12">
        <v>16</v>
      </c>
      <c r="K12" s="1">
        <f>('Data &amp; PV'!$G$5/(1+7%)^J12)</f>
        <v>272.57990089169039</v>
      </c>
      <c r="O12" s="106">
        <v>47</v>
      </c>
      <c r="P12">
        <v>11</v>
      </c>
      <c r="Q12" s="1">
        <f>('Data &amp; PV'!$J$5/(1+7%)^Table1116[[#This Row],[year]])</f>
        <v>1102.215287619201</v>
      </c>
      <c r="V12">
        <v>52</v>
      </c>
      <c r="W12">
        <v>16</v>
      </c>
      <c r="X12" s="1">
        <f>('Data &amp; PV'!$J$5/(1+7%)^Table1221[[#This Row],[year]])</f>
        <v>785.86426688810707</v>
      </c>
    </row>
    <row r="13" spans="1:28">
      <c r="A13" s="106">
        <v>48</v>
      </c>
      <c r="B13">
        <v>12</v>
      </c>
      <c r="C13" s="1">
        <f>('Data &amp; PV'!$G$5/(1+7%)^B13)</f>
        <v>357.2966464950232</v>
      </c>
      <c r="I13">
        <v>53</v>
      </c>
      <c r="J13">
        <v>17</v>
      </c>
      <c r="K13" s="1">
        <f>('Data &amp; PV'!$G$5/(1+7%)^J13)</f>
        <v>254.74757092681344</v>
      </c>
      <c r="O13" s="106">
        <v>48</v>
      </c>
      <c r="P13">
        <v>12</v>
      </c>
      <c r="Q13" s="1">
        <f>('Data &amp; PV'!$J$5/(1+7%)^Table1116[[#This Row],[year]])</f>
        <v>1030.1077454385058</v>
      </c>
      <c r="V13">
        <v>53</v>
      </c>
      <c r="W13">
        <v>17</v>
      </c>
      <c r="X13" s="1">
        <f>('Data &amp; PV'!$J$5/(1+7%)^Table1221[[#This Row],[year]])</f>
        <v>734.45258587673561</v>
      </c>
    </row>
    <row r="14" spans="1:28">
      <c r="A14" s="106">
        <v>49</v>
      </c>
      <c r="B14">
        <v>13</v>
      </c>
      <c r="C14" s="1">
        <f>('Data &amp; PV'!$G$5/(1+7%)^B14)</f>
        <v>333.92209952805905</v>
      </c>
      <c r="I14">
        <v>54</v>
      </c>
      <c r="J14">
        <v>18</v>
      </c>
      <c r="K14" s="1">
        <f>('Data &amp; PV'!$G$5/(1+7%)^J14)</f>
        <v>238.08184198767609</v>
      </c>
      <c r="O14" s="106">
        <v>49</v>
      </c>
      <c r="P14">
        <v>13</v>
      </c>
      <c r="Q14" s="1">
        <f>('Data &amp; PV'!$J$5/(1+7%)^Table1116[[#This Row],[year]])</f>
        <v>962.71751910140722</v>
      </c>
      <c r="V14">
        <v>54</v>
      </c>
      <c r="W14">
        <v>18</v>
      </c>
      <c r="X14" s="1">
        <f>('Data &amp; PV'!$J$5/(1+7%)^Table1221[[#This Row],[year]])</f>
        <v>686.40428586610801</v>
      </c>
    </row>
    <row r="15" spans="1:28">
      <c r="A15" s="106">
        <v>50</v>
      </c>
      <c r="B15">
        <v>14</v>
      </c>
      <c r="C15" s="1">
        <f>('Data &amp; PV'!$G$5/(1+7%)^B15)</f>
        <v>312.07672853089628</v>
      </c>
      <c r="I15">
        <v>55</v>
      </c>
      <c r="J15">
        <v>19</v>
      </c>
      <c r="K15" s="1">
        <f>('Data &amp; PV'!$G$5/(1+7%)^J15)</f>
        <v>222.50639438100569</v>
      </c>
      <c r="O15" s="106">
        <v>50</v>
      </c>
      <c r="P15">
        <v>14</v>
      </c>
      <c r="Q15" s="1">
        <f>('Data &amp; PV'!$J$5/(1+7%)^Table1116[[#This Row],[year]])</f>
        <v>899.73599916019373</v>
      </c>
      <c r="V15">
        <v>55</v>
      </c>
      <c r="W15">
        <v>19</v>
      </c>
      <c r="X15" s="1">
        <f>('Data &amp; PV'!$J$5/(1+7%)^Table1221[[#This Row],[year]])</f>
        <v>641.49933258514761</v>
      </c>
    </row>
    <row r="16" spans="1:28">
      <c r="A16" s="106">
        <v>51</v>
      </c>
      <c r="B16">
        <v>15</v>
      </c>
      <c r="C16" s="1">
        <f>('Data &amp; PV'!$G$5/(1+7%)^B16)</f>
        <v>291.66049395410863</v>
      </c>
      <c r="I16">
        <v>56</v>
      </c>
      <c r="J16">
        <v>20</v>
      </c>
      <c r="K16" s="1">
        <f>('Data &amp; PV'!$G$5/(1+7%)^J16)</f>
        <v>207.94990129065954</v>
      </c>
      <c r="O16" s="106">
        <v>51</v>
      </c>
      <c r="P16">
        <v>15</v>
      </c>
      <c r="Q16" s="1">
        <f>('Data &amp; PV'!$J$5/(1+7%)^Table1116[[#This Row],[year]])</f>
        <v>840.87476557027446</v>
      </c>
      <c r="V16">
        <v>56</v>
      </c>
      <c r="W16">
        <v>20</v>
      </c>
      <c r="X16" s="1">
        <f>('Data &amp; PV'!$J$5/(1+7%)^Table1221[[#This Row],[year]])</f>
        <v>599.53208652817534</v>
      </c>
    </row>
    <row r="17" spans="1:24" ht="15.75" customHeight="1">
      <c r="A17" s="106">
        <v>52</v>
      </c>
      <c r="B17">
        <v>16</v>
      </c>
      <c r="C17" s="1">
        <f>('Data &amp; PV'!$G$5/(1+7%)^B17)</f>
        <v>272.57990089169039</v>
      </c>
      <c r="D17" s="6"/>
      <c r="E17" s="6"/>
      <c r="F17" s="6"/>
      <c r="I17">
        <v>57</v>
      </c>
      <c r="J17">
        <v>21</v>
      </c>
      <c r="K17" s="1">
        <f>('Data &amp; PV'!$G$5/(1+7%)^J17)</f>
        <v>194.3457021408033</v>
      </c>
      <c r="O17" s="106">
        <v>52</v>
      </c>
      <c r="P17">
        <v>16</v>
      </c>
      <c r="Q17" s="1">
        <f>('Data &amp; PV'!$J$5/(1+7%)^Table1116[[#This Row],[year]])</f>
        <v>785.86426688810707</v>
      </c>
      <c r="V17">
        <v>57</v>
      </c>
      <c r="W17">
        <v>21</v>
      </c>
      <c r="X17" s="1">
        <f>('Data &amp; PV'!$J$5/(1+7%)^Table1221[[#This Row],[year]])</f>
        <v>560.31036124128536</v>
      </c>
    </row>
    <row r="18" spans="1:24">
      <c r="A18" s="106">
        <v>53</v>
      </c>
      <c r="B18">
        <v>17</v>
      </c>
      <c r="C18" s="1">
        <f>('Data &amp; PV'!$G$5/(1+7%)^B18)</f>
        <v>254.74757092681344</v>
      </c>
      <c r="I18">
        <v>58</v>
      </c>
      <c r="J18">
        <v>22</v>
      </c>
      <c r="K18" s="1">
        <f>('Data &amp; PV'!$G$5/(1+7%)^J18)</f>
        <v>181.63149732785354</v>
      </c>
      <c r="O18" s="106">
        <v>53</v>
      </c>
      <c r="P18">
        <v>17</v>
      </c>
      <c r="Q18" s="1">
        <f>('Data &amp; PV'!$J$5/(1+7%)^Table1116[[#This Row],[year]])</f>
        <v>734.45258587673561</v>
      </c>
      <c r="V18">
        <v>58</v>
      </c>
      <c r="W18">
        <v>22</v>
      </c>
      <c r="X18" s="1">
        <f>('Data &amp; PV'!$J$5/(1+7%)^Table1221[[#This Row],[year]])</f>
        <v>523.65454321615459</v>
      </c>
    </row>
    <row r="19" spans="1:24">
      <c r="A19" s="106">
        <v>54</v>
      </c>
      <c r="B19">
        <v>18</v>
      </c>
      <c r="C19" s="1">
        <f>('Data &amp; PV'!$G$5/(1+7%)^B19)</f>
        <v>238.08184198767609</v>
      </c>
      <c r="I19">
        <v>59</v>
      </c>
      <c r="J19">
        <v>23</v>
      </c>
      <c r="K19" s="1">
        <f>('Data &amp; PV'!$G$5/(1+7%)^J19)</f>
        <v>169.7490629232276</v>
      </c>
      <c r="O19" s="106">
        <v>54</v>
      </c>
      <c r="P19">
        <v>18</v>
      </c>
      <c r="Q19" s="1">
        <f>('Data &amp; PV'!$J$5/(1+7%)^Table1116[[#This Row],[year]])</f>
        <v>686.40428586610801</v>
      </c>
      <c r="V19">
        <v>59</v>
      </c>
      <c r="W19">
        <v>23</v>
      </c>
      <c r="X19" s="1">
        <f>('Data &amp; PV'!$J$5/(1+7%)^Table1221[[#This Row],[year]])</f>
        <v>489.39676936089211</v>
      </c>
    </row>
    <row r="20" spans="1:24">
      <c r="A20" s="106">
        <v>55</v>
      </c>
      <c r="B20">
        <v>19</v>
      </c>
      <c r="C20" s="1">
        <f>('Data &amp; PV'!$G$5/(1+7%)^B20)</f>
        <v>222.50639438100569</v>
      </c>
      <c r="I20">
        <v>60</v>
      </c>
      <c r="J20">
        <v>24</v>
      </c>
      <c r="K20" s="1">
        <f>('Data &amp; PV'!$G$5/(1+7%)^J20)</f>
        <v>158.64398404039963</v>
      </c>
      <c r="O20" s="106">
        <v>55</v>
      </c>
      <c r="P20">
        <v>19</v>
      </c>
      <c r="Q20" s="1">
        <f>('Data &amp; PV'!$J$5/(1+7%)^Table1116[[#This Row],[year]])</f>
        <v>641.49933258514761</v>
      </c>
      <c r="V20">
        <v>60</v>
      </c>
      <c r="W20">
        <v>24</v>
      </c>
      <c r="X20" s="1">
        <f>('Data &amp; PV'!$J$5/(1+7%)^Table1221[[#This Row],[year]])</f>
        <v>457.38015828120757</v>
      </c>
    </row>
    <row r="21" spans="1:24">
      <c r="A21" s="106">
        <v>56</v>
      </c>
      <c r="B21">
        <v>20</v>
      </c>
      <c r="C21" s="1">
        <f>('Data &amp; PV'!$G$5/(1+7%)^B21)</f>
        <v>207.94990129065954</v>
      </c>
      <c r="I21">
        <v>61</v>
      </c>
      <c r="J21">
        <v>25</v>
      </c>
      <c r="K21" s="1">
        <f>('Data &amp; PV'!$G$5/(1+7%)^J21)</f>
        <v>148.2654056452333</v>
      </c>
      <c r="O21" s="106">
        <v>56</v>
      </c>
      <c r="P21">
        <v>20</v>
      </c>
      <c r="Q21" s="1">
        <f>('Data &amp; PV'!$J$5/(1+7%)^Table1116[[#This Row],[year]])</f>
        <v>599.53208652817534</v>
      </c>
      <c r="V21">
        <v>61</v>
      </c>
      <c r="W21">
        <v>25</v>
      </c>
      <c r="X21" s="1">
        <f>('Data &amp; PV'!$J$5/(1+7%)^Table1221[[#This Row],[year]])</f>
        <v>427.45809185159584</v>
      </c>
    </row>
    <row r="22" spans="1:24">
      <c r="A22" s="106">
        <v>57</v>
      </c>
      <c r="B22">
        <v>21</v>
      </c>
      <c r="C22" s="1">
        <f>('Data &amp; PV'!$G$5/(1+7%)^B22)</f>
        <v>194.3457021408033</v>
      </c>
      <c r="I22">
        <v>62</v>
      </c>
      <c r="J22">
        <v>26</v>
      </c>
      <c r="K22" s="1">
        <f>('Data &amp; PV'!$G$5/(1+7%)^J22)</f>
        <v>138.56579966844234</v>
      </c>
      <c r="O22" s="106">
        <v>57</v>
      </c>
      <c r="P22">
        <v>21</v>
      </c>
      <c r="Q22" s="1">
        <f>('Data &amp; PV'!$J$5/(1+7%)^Table1116[[#This Row],[year]])</f>
        <v>560.31036124128536</v>
      </c>
      <c r="V22">
        <v>62</v>
      </c>
      <c r="W22">
        <v>26</v>
      </c>
      <c r="X22" s="1">
        <f>('Data &amp; PV'!$J$5/(1+7%)^Table1221[[#This Row],[year]])</f>
        <v>399.49354378653817</v>
      </c>
    </row>
    <row r="23" spans="1:24">
      <c r="A23" s="106">
        <v>58</v>
      </c>
      <c r="B23">
        <v>22</v>
      </c>
      <c r="C23" s="1">
        <f>('Data &amp; PV'!$G$5/(1+7%)^B23)</f>
        <v>181.63149732785354</v>
      </c>
      <c r="I23">
        <v>63</v>
      </c>
      <c r="J23">
        <v>27</v>
      </c>
      <c r="K23" s="1">
        <f>('Data &amp; PV'!$G$5/(1+7%)^J23)</f>
        <v>129.5007473536844</v>
      </c>
      <c r="O23" s="106">
        <v>58</v>
      </c>
      <c r="P23">
        <v>22</v>
      </c>
      <c r="Q23" s="1">
        <f>('Data &amp; PV'!$J$5/(1+7%)^Table1116[[#This Row],[year]])</f>
        <v>523.65454321615459</v>
      </c>
      <c r="V23">
        <v>63</v>
      </c>
      <c r="W23">
        <v>27</v>
      </c>
      <c r="X23" s="1">
        <f>('Data &amp; PV'!$J$5/(1+7%)^Table1221[[#This Row],[year]])</f>
        <v>373.35845213695148</v>
      </c>
    </row>
    <row r="24" spans="1:24">
      <c r="A24" s="106">
        <v>59</v>
      </c>
      <c r="B24">
        <v>23</v>
      </c>
      <c r="C24" s="1">
        <f>('Data &amp; PV'!$G$5/(1+7%)^B24)</f>
        <v>169.7490629232276</v>
      </c>
      <c r="I24">
        <v>64</v>
      </c>
      <c r="J24">
        <v>28</v>
      </c>
      <c r="K24" s="1">
        <f>('Data &amp; PV'!$G$5/(1+7%)^J24)</f>
        <v>121.02873584456488</v>
      </c>
      <c r="O24" s="106">
        <v>59</v>
      </c>
      <c r="P24">
        <v>23</v>
      </c>
      <c r="Q24" s="1">
        <f>('Data &amp; PV'!$J$5/(1+7%)^Table1116[[#This Row],[year]])</f>
        <v>489.39676936089211</v>
      </c>
      <c r="V24">
        <v>64</v>
      </c>
      <c r="W24">
        <v>28</v>
      </c>
      <c r="X24" s="1">
        <f>('Data &amp; PV'!$J$5/(1+7%)^Table1221[[#This Row],[year]])</f>
        <v>348.93313283827251</v>
      </c>
    </row>
    <row r="25" spans="1:24">
      <c r="A25" s="106">
        <v>60</v>
      </c>
      <c r="B25">
        <v>24</v>
      </c>
      <c r="C25" s="1">
        <f>('Data &amp; PV'!$G$5/(1+7%)^B25)</f>
        <v>158.64398404039963</v>
      </c>
      <c r="I25">
        <v>65</v>
      </c>
      <c r="J25">
        <v>29</v>
      </c>
      <c r="K25" s="1">
        <f>('Data &amp; PV'!$G$5/(1+7%)^J25)</f>
        <v>113.1109680790326</v>
      </c>
      <c r="O25" s="106">
        <v>60</v>
      </c>
      <c r="P25">
        <v>24</v>
      </c>
      <c r="Q25" s="1">
        <f>('Data &amp; PV'!$J$5/(1+7%)^Table1116[[#This Row],[year]])</f>
        <v>457.38015828120757</v>
      </c>
      <c r="V25">
        <v>65</v>
      </c>
      <c r="W25">
        <v>29</v>
      </c>
      <c r="X25" s="1">
        <f>('Data &amp; PV'!$J$5/(1+7%)^Table1221[[#This Row],[year]])</f>
        <v>326.1057316245537</v>
      </c>
    </row>
    <row r="26" spans="1:24">
      <c r="A26" s="106">
        <v>61</v>
      </c>
      <c r="B26">
        <v>25</v>
      </c>
      <c r="C26" s="1">
        <f>('Data &amp; PV'!$G$5/(1+7%)^B26)</f>
        <v>148.2654056452333</v>
      </c>
      <c r="I26">
        <v>66</v>
      </c>
      <c r="J26">
        <v>30</v>
      </c>
      <c r="K26" s="1">
        <f>('Data &amp; PV'!$G$5/(1+7%)^J26)</f>
        <v>105.71118512059122</v>
      </c>
      <c r="O26" s="106">
        <v>61</v>
      </c>
      <c r="P26">
        <v>25</v>
      </c>
      <c r="Q26" s="1">
        <f>('Data &amp; PV'!$J$5/(1+7%)^Table1116[[#This Row],[year]])</f>
        <v>427.45809185159584</v>
      </c>
      <c r="V26">
        <v>66</v>
      </c>
      <c r="W26">
        <v>30</v>
      </c>
      <c r="X26" s="1">
        <f>('Data &amp; PV'!$J$5/(1+7%)^Table1221[[#This Row],[year]])</f>
        <v>304.77171179864837</v>
      </c>
    </row>
    <row r="27" spans="1:24" s="3" customFormat="1">
      <c r="A27" s="177" t="s">
        <v>99</v>
      </c>
      <c r="B27" s="177"/>
      <c r="C27" s="4">
        <f>SUM(C6:C26)</f>
        <v>6078.2132986333809</v>
      </c>
      <c r="I27" s="177" t="s">
        <v>99</v>
      </c>
      <c r="J27" s="177"/>
      <c r="K27" s="4">
        <f>SUM(K6:K26)</f>
        <v>4333.682077879439</v>
      </c>
      <c r="O27" s="177" t="s">
        <v>99</v>
      </c>
      <c r="P27" s="177"/>
      <c r="Q27" s="4">
        <f>SUM(Q6:Q26)</f>
        <v>17523.854922150214</v>
      </c>
      <c r="V27" s="177" t="s">
        <v>99</v>
      </c>
      <c r="W27" s="177"/>
      <c r="X27" s="4">
        <f>SUM(X6:X26)</f>
        <v>12494.266370769958</v>
      </c>
    </row>
    <row r="28" spans="1:24" ht="15.75" thickBot="1"/>
    <row r="29" spans="1:24" ht="15.75" thickBot="1">
      <c r="D29" s="311" t="s">
        <v>89</v>
      </c>
      <c r="E29" s="312"/>
      <c r="F29" s="312"/>
      <c r="G29" s="53">
        <f>C27-K27</f>
        <v>1744.5312207539419</v>
      </c>
      <c r="P29" s="311" t="s">
        <v>129</v>
      </c>
      <c r="Q29" s="312"/>
      <c r="R29" s="312"/>
      <c r="S29" s="77">
        <f>Q27-X27</f>
        <v>5029.5885513802568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5" t="s">
        <v>130</v>
      </c>
      <c r="B1" s="326"/>
      <c r="C1" s="326"/>
      <c r="D1" s="8"/>
      <c r="E1" s="8"/>
      <c r="F1" s="8"/>
      <c r="G1" s="8"/>
      <c r="K1" s="325" t="s">
        <v>131</v>
      </c>
      <c r="L1" s="326"/>
      <c r="M1" s="326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5" t="s">
        <v>89</v>
      </c>
      <c r="B2" s="326"/>
      <c r="C2" s="326"/>
      <c r="D2" s="7"/>
      <c r="E2" s="7"/>
      <c r="F2" s="7"/>
      <c r="K2" s="325" t="s">
        <v>132</v>
      </c>
      <c r="L2" s="326"/>
      <c r="M2" s="326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5" t="s">
        <v>133</v>
      </c>
      <c r="B3" s="326"/>
      <c r="C3" s="326"/>
      <c r="D3" s="6"/>
      <c r="E3" s="6"/>
      <c r="F3" s="6"/>
      <c r="K3" s="325" t="s">
        <v>134</v>
      </c>
      <c r="L3" s="326"/>
      <c r="M3" s="326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(0/(1+5%)^B5)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(0/(1+5%)^L5)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PV'!$G$7/(1+7%)^B6)</f>
        <v>4137.7358202400746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PV'!$J$7/(1+7%)^L6)</f>
        <v>157.4537998530339</v>
      </c>
    </row>
    <row r="7" spans="1:22">
      <c r="A7" s="106">
        <v>51</v>
      </c>
      <c r="B7" s="8">
        <v>15</v>
      </c>
      <c r="C7" s="1">
        <f>('Data &amp; PV'!$G$7/(1+7%)^B7)</f>
        <v>3867.0428226542745</v>
      </c>
      <c r="K7" s="63">
        <v>51</v>
      </c>
      <c r="L7" s="70">
        <v>15</v>
      </c>
      <c r="M7" s="66">
        <f>('Data &amp; PV'!$J$7/(1+7%)^L7)</f>
        <v>147.15308397479802</v>
      </c>
    </row>
    <row r="8" spans="1:22">
      <c r="A8" s="106">
        <v>52</v>
      </c>
      <c r="B8" s="8">
        <v>16</v>
      </c>
      <c r="C8" s="1">
        <f>('Data &amp; PV'!$G$7/(1+7%)^B8)</f>
        <v>3614.0587127610047</v>
      </c>
      <c r="K8" s="65">
        <v>52</v>
      </c>
      <c r="L8" s="71">
        <v>16</v>
      </c>
      <c r="M8" s="66">
        <f>('Data &amp; PV'!$J$7/(1+7%)^L8)</f>
        <v>137.52624670541874</v>
      </c>
    </row>
    <row r="9" spans="1:22">
      <c r="A9" s="106">
        <v>53</v>
      </c>
      <c r="B9" s="8">
        <v>17</v>
      </c>
      <c r="C9" s="1">
        <f>('Data &amp; PV'!$G$7/(1+7%)^B9)</f>
        <v>3377.6249651972007</v>
      </c>
      <c r="K9" s="63">
        <v>53</v>
      </c>
      <c r="L9" s="70">
        <v>17</v>
      </c>
      <c r="M9" s="66">
        <f>('Data &amp; PV'!$J$7/(1+7%)^L9)</f>
        <v>128.52920252842873</v>
      </c>
    </row>
    <row r="10" spans="1:22" s="3" customFormat="1">
      <c r="A10" s="106">
        <v>54</v>
      </c>
      <c r="B10" s="8">
        <v>18</v>
      </c>
      <c r="C10" s="1">
        <f>('Data &amp; PV'!$G$7/(1+7%)^B10)</f>
        <v>3156.6588459786922</v>
      </c>
      <c r="K10" s="65">
        <v>54</v>
      </c>
      <c r="L10" s="71">
        <v>18</v>
      </c>
      <c r="M10" s="66">
        <f>('Data &amp; PV'!$J$7/(1+7%)^L10)</f>
        <v>120.1207500265689</v>
      </c>
    </row>
    <row r="11" spans="1:22">
      <c r="A11" s="106">
        <v>55</v>
      </c>
      <c r="B11" s="8">
        <v>19</v>
      </c>
      <c r="C11" s="1">
        <f>('Data &amp; PV'!$G$7/(1+7%)^B11)</f>
        <v>2950.1484541856935</v>
      </c>
      <c r="K11" s="63">
        <v>55</v>
      </c>
      <c r="L11" s="70">
        <v>19</v>
      </c>
      <c r="M11" s="66">
        <f>('Data &amp; PV'!$J$7/(1+7%)^L11)</f>
        <v>112.26238320240083</v>
      </c>
    </row>
    <row r="12" spans="1:22">
      <c r="A12" s="106">
        <v>56</v>
      </c>
      <c r="B12" s="8">
        <v>20</v>
      </c>
      <c r="C12" s="1">
        <f>('Data &amp; PV'!$G$7/(1+7%)^B12)</f>
        <v>2757.1480880240128</v>
      </c>
      <c r="K12" s="65">
        <v>56</v>
      </c>
      <c r="L12" s="71">
        <v>20</v>
      </c>
      <c r="M12" s="66">
        <f>('Data &amp; PV'!$J$7/(1+7%)^L12)</f>
        <v>104.91811514243069</v>
      </c>
    </row>
    <row r="13" spans="1:22">
      <c r="A13" s="106">
        <v>57</v>
      </c>
      <c r="B13" s="8">
        <v>21</v>
      </c>
      <c r="C13" s="1">
        <f>('Data &amp; PV'!$G$7/(1+7%)^B13)</f>
        <v>2576.7739140411331</v>
      </c>
      <c r="K13" s="63">
        <v>57</v>
      </c>
      <c r="L13" s="70">
        <v>21</v>
      </c>
      <c r="M13" s="66">
        <f>('Data &amp; PV'!$J$7/(1+7%)^L13)</f>
        <v>98.054313217224944</v>
      </c>
    </row>
    <row r="14" spans="1:22">
      <c r="A14" s="106">
        <v>58</v>
      </c>
      <c r="B14" s="8">
        <v>22</v>
      </c>
      <c r="C14" s="1">
        <f>('Data &amp; PV'!$G$7/(1+7%)^B14)</f>
        <v>2408.1999196646107</v>
      </c>
      <c r="K14" s="65">
        <v>58</v>
      </c>
      <c r="L14" s="71">
        <v>22</v>
      </c>
      <c r="M14" s="66">
        <f>('Data &amp; PV'!$J$7/(1+7%)^L14)</f>
        <v>91.639545062827054</v>
      </c>
    </row>
    <row r="15" spans="1:22" ht="18" customHeight="1">
      <c r="A15" s="106">
        <v>59</v>
      </c>
      <c r="B15" s="8">
        <v>23</v>
      </c>
      <c r="C15" s="1">
        <f>('Data &amp; PV'!$G$7/(1+7%)^B15)</f>
        <v>2250.6541305276733</v>
      </c>
      <c r="D15" s="5"/>
      <c r="E15" s="5"/>
      <c r="F15" s="5"/>
      <c r="K15" s="63">
        <v>59</v>
      </c>
      <c r="L15" s="70">
        <v>23</v>
      </c>
      <c r="M15" s="66">
        <f>('Data &amp; PV'!$J$7/(1+7%)^L15)</f>
        <v>85.644434638156113</v>
      </c>
    </row>
    <row r="16" spans="1:22">
      <c r="A16" s="106">
        <v>60</v>
      </c>
      <c r="B16" s="8">
        <v>24</v>
      </c>
      <c r="C16" s="1">
        <f>('Data &amp; PV'!$G$7/(1+7%)^B16)</f>
        <v>2103.4150752595078</v>
      </c>
      <c r="K16" s="65">
        <v>60</v>
      </c>
      <c r="L16" s="71">
        <v>24</v>
      </c>
      <c r="M16" s="66">
        <f>('Data &amp; PV'!$J$7/(1+7%)^L16)</f>
        <v>80.041527699211315</v>
      </c>
    </row>
    <row r="17" spans="1:13">
      <c r="A17" s="106">
        <v>61</v>
      </c>
      <c r="B17" s="8">
        <v>25</v>
      </c>
      <c r="C17" s="1">
        <f>('Data &amp; PV'!$G$7/(1+7%)^B17)</f>
        <v>1965.8084815509417</v>
      </c>
      <c r="K17" s="63">
        <v>61</v>
      </c>
      <c r="L17" s="70">
        <v>25</v>
      </c>
      <c r="M17" s="66">
        <f>('Data &amp; PV'!$J$7/(1+7%)^L17)</f>
        <v>74.805166074029273</v>
      </c>
    </row>
    <row r="18" spans="1:13">
      <c r="A18" s="106">
        <v>62</v>
      </c>
      <c r="B18" s="8">
        <v>26</v>
      </c>
      <c r="C18" s="1">
        <f>('Data &amp; PV'!$G$7/(1+7%)^B18)</f>
        <v>1837.2041883653662</v>
      </c>
      <c r="K18" s="65">
        <v>62</v>
      </c>
      <c r="L18" s="71">
        <v>26</v>
      </c>
      <c r="M18" s="66">
        <f>('Data &amp; PV'!$J$7/(1+7%)^L18)</f>
        <v>69.911370162644175</v>
      </c>
    </row>
    <row r="19" spans="1:13">
      <c r="A19" s="106">
        <v>63</v>
      </c>
      <c r="B19" s="8">
        <v>27</v>
      </c>
      <c r="C19" s="1">
        <f>('Data &amp; PV'!$G$7/(1+7%)^B19)</f>
        <v>1717.0132601545474</v>
      </c>
      <c r="K19" s="63">
        <v>63</v>
      </c>
      <c r="L19" s="70">
        <v>27</v>
      </c>
      <c r="M19" s="66">
        <f>('Data &amp; PV'!$J$7/(1+7%)^L19)</f>
        <v>65.337729123966511</v>
      </c>
    </row>
    <row r="20" spans="1:13">
      <c r="A20" s="106">
        <v>64</v>
      </c>
      <c r="B20" s="8">
        <v>28</v>
      </c>
      <c r="C20" s="1">
        <f>('Data &amp; PV'!$G$7/(1+7%)^B20)</f>
        <v>1604.6852898640634</v>
      </c>
      <c r="K20" s="65">
        <v>64</v>
      </c>
      <c r="L20" s="71">
        <v>28</v>
      </c>
      <c r="M20" s="66">
        <f>('Data &amp; PV'!$J$7/(1+7%)^L20)</f>
        <v>61.063298246697684</v>
      </c>
    </row>
    <row r="21" spans="1:13">
      <c r="A21" s="106">
        <v>65</v>
      </c>
      <c r="B21" s="8">
        <v>29</v>
      </c>
      <c r="C21" s="1">
        <f>('Data &amp; PV'!$G$7/(1+7%)^B21)</f>
        <v>1499.7058783776292</v>
      </c>
      <c r="J21" s="92"/>
      <c r="K21" s="96">
        <v>65</v>
      </c>
      <c r="L21" s="91">
        <v>29</v>
      </c>
      <c r="M21" s="66">
        <f>('Data &amp; PV'!$J$7/(1+7%)^L21)</f>
        <v>57.068503034296903</v>
      </c>
    </row>
    <row r="22" spans="1:13">
      <c r="A22" s="106">
        <v>66</v>
      </c>
      <c r="B22" s="8">
        <v>30</v>
      </c>
      <c r="C22" s="1">
        <f>('Data &amp; PV'!$G$7/(1+7%)^B22)</f>
        <v>1401.5942788575976</v>
      </c>
      <c r="K22" s="92" t="s">
        <v>135</v>
      </c>
      <c r="L22" s="92"/>
      <c r="M22" s="4">
        <f>SUM(M5:M21)</f>
        <v>1591.5294686921341</v>
      </c>
    </row>
    <row r="23" spans="1:13">
      <c r="A23" s="106">
        <v>67</v>
      </c>
      <c r="B23" s="8">
        <v>31</v>
      </c>
      <c r="C23" s="1">
        <f>('Data &amp; PV'!$G$7/(1+7%)^B23)</f>
        <v>1309.9011951940161</v>
      </c>
    </row>
    <row r="24" spans="1:13">
      <c r="A24" s="106">
        <v>68</v>
      </c>
      <c r="B24" s="8">
        <v>32</v>
      </c>
      <c r="C24" s="1">
        <f>('Data &amp; PV'!$G$7/(1+7%)^B24)</f>
        <v>1224.2067244803891</v>
      </c>
    </row>
    <row r="25" spans="1:13">
      <c r="A25" s="106">
        <v>69</v>
      </c>
      <c r="B25" s="8">
        <v>33</v>
      </c>
      <c r="C25" s="1">
        <f>('Data &amp; PV'!$G$7/(1+7%)^B25)</f>
        <v>1144.1184340938216</v>
      </c>
    </row>
    <row r="26" spans="1:13">
      <c r="A26" s="106">
        <v>70</v>
      </c>
      <c r="B26" s="62">
        <v>34</v>
      </c>
      <c r="C26" s="1">
        <f>('Data &amp; PV'!$G$7/(1+7%)^B26)</f>
        <v>1069.2695645736651</v>
      </c>
    </row>
    <row r="27" spans="1:13">
      <c r="A27" s="106">
        <v>71</v>
      </c>
      <c r="B27" s="61">
        <v>35</v>
      </c>
      <c r="C27" s="1">
        <f>('Data &amp; PV'!$G$7/(1+7%)^B27)</f>
        <v>999.31735006884571</v>
      </c>
    </row>
    <row r="28" spans="1:13">
      <c r="A28" s="106">
        <v>72</v>
      </c>
      <c r="B28" s="62">
        <v>36</v>
      </c>
      <c r="C28" s="1">
        <f>('Data &amp; PV'!$G$7/(1+7%)^B28)</f>
        <v>933.94144866247268</v>
      </c>
    </row>
    <row r="29" spans="1:13">
      <c r="A29" s="106">
        <v>73</v>
      </c>
      <c r="B29" s="61">
        <v>37</v>
      </c>
      <c r="C29" s="1">
        <f>('Data &amp; PV'!$G$7/(1+7%)^B29)</f>
        <v>872.84247538548846</v>
      </c>
    </row>
    <row r="30" spans="1:13">
      <c r="A30" s="106">
        <v>74</v>
      </c>
      <c r="B30" s="62">
        <v>38</v>
      </c>
      <c r="C30" s="1">
        <f>('Data &amp; PV'!$G$7/(1+7%)^B30)</f>
        <v>815.74063120139101</v>
      </c>
    </row>
    <row r="31" spans="1:13">
      <c r="A31" s="106">
        <v>75</v>
      </c>
      <c r="B31" s="61">
        <v>39</v>
      </c>
      <c r="C31" s="1">
        <f>('Data &amp; PV'!$G$7/(1+7%)^B31)</f>
        <v>762.37442168354301</v>
      </c>
    </row>
    <row r="32" spans="1:13">
      <c r="A32" s="106">
        <v>76</v>
      </c>
      <c r="B32" s="62">
        <v>40</v>
      </c>
      <c r="C32" s="1">
        <f>('Data &amp; PV'!$G$7/(1+7%)^B32)</f>
        <v>712.49945951732991</v>
      </c>
    </row>
    <row r="33" spans="1:13" s="3" customFormat="1">
      <c r="A33" s="106">
        <v>77</v>
      </c>
      <c r="B33" s="61">
        <v>41</v>
      </c>
      <c r="C33" s="1">
        <f>('Data &amp; PV'!$G$7/(1+7%)^B33)</f>
        <v>665.88734534329899</v>
      </c>
      <c r="K33"/>
      <c r="L33"/>
      <c r="M33"/>
    </row>
    <row r="34" spans="1:13">
      <c r="A34" s="106">
        <v>78</v>
      </c>
      <c r="B34" s="91">
        <v>42</v>
      </c>
      <c r="C34" s="1">
        <f>('Data &amp; PV'!$G$7/(1+7%)^B34)</f>
        <v>622.32462181616734</v>
      </c>
      <c r="K34" s="3"/>
      <c r="L34" s="3"/>
      <c r="M34" s="3"/>
    </row>
    <row r="35" spans="1:13">
      <c r="A35" s="177" t="s">
        <v>136</v>
      </c>
      <c r="B35" s="7"/>
      <c r="C35" s="4">
        <f>SUM(C5:C34)</f>
        <v>54357.895797724443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topLeftCell="A4" workbookViewId="0">
      <selection activeCell="Q6" sqref="Q6:Q17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5" t="s">
        <v>137</v>
      </c>
      <c r="B1" s="326"/>
      <c r="C1" s="326"/>
      <c r="D1" s="8"/>
      <c r="E1" s="8"/>
      <c r="F1" s="8"/>
      <c r="G1" s="8"/>
      <c r="O1" s="325" t="s">
        <v>138</v>
      </c>
      <c r="P1" s="326"/>
      <c r="Q1" s="326"/>
    </row>
    <row r="2" spans="1:17" s="3" customFormat="1">
      <c r="A2" s="325" t="s">
        <v>89</v>
      </c>
      <c r="B2" s="326"/>
      <c r="C2" s="326"/>
      <c r="D2" s="7"/>
      <c r="E2" s="7"/>
      <c r="F2" s="7"/>
      <c r="O2" s="325" t="s">
        <v>132</v>
      </c>
      <c r="P2" s="326"/>
      <c r="Q2" s="326"/>
    </row>
    <row r="3" spans="1:17" s="3" customFormat="1" ht="40.5" customHeight="1">
      <c r="A3" s="325" t="s">
        <v>139</v>
      </c>
      <c r="B3" s="326"/>
      <c r="C3" s="326"/>
      <c r="D3" s="6"/>
      <c r="E3" s="6"/>
      <c r="F3" s="6"/>
      <c r="O3" s="325" t="s">
        <v>140</v>
      </c>
      <c r="P3" s="326"/>
      <c r="Q3" s="326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(0/(1+5%)^B5)</f>
        <v>0</v>
      </c>
      <c r="O5" s="63" t="s">
        <v>141</v>
      </c>
      <c r="P5" s="59">
        <v>18</v>
      </c>
      <c r="Q5" s="64">
        <f>(0/(1+5%)^'Type 2 Diabeties'!P5)</f>
        <v>0</v>
      </c>
    </row>
    <row r="6" spans="1:17">
      <c r="A6" s="106">
        <v>54</v>
      </c>
      <c r="B6">
        <v>19</v>
      </c>
      <c r="C6" s="1">
        <f>('Data &amp; PV'!$G$8/(1+7%)^B6)</f>
        <v>2397.4616595637049</v>
      </c>
      <c r="O6" s="65">
        <v>54</v>
      </c>
      <c r="P6" s="60">
        <v>19</v>
      </c>
      <c r="Q6" s="64">
        <f>('Data &amp; PV'!$J$8/(1+7%)^'Type 2 Diabeties'!P6)</f>
        <v>176.4123164609156</v>
      </c>
    </row>
    <row r="7" spans="1:17">
      <c r="A7" s="106">
        <v>55</v>
      </c>
      <c r="B7">
        <v>20</v>
      </c>
      <c r="C7" s="1">
        <f>('Data &amp; PV'!$G$8/(1+7%)^B7)</f>
        <v>2240.6183734240235</v>
      </c>
      <c r="O7" s="63">
        <v>55</v>
      </c>
      <c r="P7" s="59">
        <v>20</v>
      </c>
      <c r="Q7" s="64">
        <f>('Data &amp; PV'!$J$8/(1+7%)^'Type 2 Diabeties'!P7)</f>
        <v>164.87132379524823</v>
      </c>
    </row>
    <row r="8" spans="1:17">
      <c r="A8" s="106">
        <v>56</v>
      </c>
      <c r="B8">
        <v>21</v>
      </c>
      <c r="C8" s="1">
        <f>('Data &amp; PV'!$G$8/(1+7%)^B8)</f>
        <v>2094.0358630131059</v>
      </c>
      <c r="O8" s="65">
        <v>56</v>
      </c>
      <c r="P8" s="60">
        <v>21</v>
      </c>
      <c r="Q8" s="64">
        <f>('Data &amp; PV'!$J$8/(1+7%)^'Type 2 Diabeties'!P8)</f>
        <v>154.08534934135346</v>
      </c>
    </row>
    <row r="9" spans="1:17">
      <c r="A9" s="106">
        <v>57</v>
      </c>
      <c r="B9">
        <v>22</v>
      </c>
      <c r="C9" s="1">
        <f>('Data &amp; PV'!$G$8/(1+7%)^B9)</f>
        <v>1957.0428626290711</v>
      </c>
      <c r="O9" s="63">
        <v>57</v>
      </c>
      <c r="P9" s="59">
        <v>22</v>
      </c>
      <c r="Q9" s="64">
        <f>('Data &amp; PV'!$J$8/(1+7%)^'Type 2 Diabeties'!P9)</f>
        <v>144.0049993844425</v>
      </c>
    </row>
    <row r="10" spans="1:17" s="3" customFormat="1">
      <c r="A10" s="106">
        <v>58</v>
      </c>
      <c r="B10">
        <v>23</v>
      </c>
      <c r="C10" s="1">
        <f>('Data &amp; PV'!$G$8/(1+7%)^B10)</f>
        <v>1829.0120211486644</v>
      </c>
      <c r="O10" s="65">
        <v>58</v>
      </c>
      <c r="P10" s="60">
        <v>23</v>
      </c>
      <c r="Q10" s="64">
        <f>('Data &amp; PV'!$J$8/(1+7%)^'Type 2 Diabeties'!P10)</f>
        <v>134.58411157424533</v>
      </c>
    </row>
    <row r="11" spans="1:17">
      <c r="A11" s="106">
        <v>59</v>
      </c>
      <c r="B11">
        <v>24</v>
      </c>
      <c r="C11" s="1">
        <f>('Data &amp; PV'!$G$8/(1+7%)^B11)</f>
        <v>1709.3570291109013</v>
      </c>
      <c r="O11" s="63">
        <v>59</v>
      </c>
      <c r="P11" s="59">
        <v>24</v>
      </c>
      <c r="Q11" s="64">
        <f>('Data &amp; PV'!$J$8/(1+7%)^'Type 2 Diabeties'!P11)</f>
        <v>125.77954352733208</v>
      </c>
    </row>
    <row r="12" spans="1:17">
      <c r="A12" s="106">
        <v>60</v>
      </c>
      <c r="B12">
        <v>25</v>
      </c>
      <c r="C12" s="1">
        <f>('Data &amp; PV'!$G$8/(1+7%)^B12)</f>
        <v>1597.5299337485058</v>
      </c>
      <c r="O12" s="65">
        <v>60</v>
      </c>
      <c r="P12" s="60">
        <v>25</v>
      </c>
      <c r="Q12" s="64">
        <f>('Data &amp; PV'!$J$8/(1+7%)^'Type 2 Diabeties'!P12)</f>
        <v>117.55097525918885</v>
      </c>
    </row>
    <row r="13" spans="1:17">
      <c r="A13" s="106">
        <v>61</v>
      </c>
      <c r="B13">
        <v>26</v>
      </c>
      <c r="C13" s="1">
        <f>('Data &amp; PV'!$G$8/(1+7%)^B13)</f>
        <v>1493.018629671501</v>
      </c>
      <c r="O13" s="63">
        <v>61</v>
      </c>
      <c r="P13" s="59">
        <v>26</v>
      </c>
      <c r="Q13" s="64">
        <f>('Data &amp; PV'!$J$8/(1+7%)^'Type 2 Diabeties'!P13)</f>
        <v>109.860724541298</v>
      </c>
    </row>
    <row r="14" spans="1:17">
      <c r="A14" s="106">
        <v>62</v>
      </c>
      <c r="B14">
        <v>27</v>
      </c>
      <c r="C14" s="1">
        <f>('Data &amp; PV'!$G$8/(1+7%)^B14)</f>
        <v>1395.3445137116828</v>
      </c>
      <c r="O14" s="65">
        <v>62</v>
      </c>
      <c r="P14" s="60">
        <v>27</v>
      </c>
      <c r="Q14" s="64">
        <f>('Data &amp; PV'!$J$8/(1+7%)^'Type 2 Diabeties'!P14)</f>
        <v>102.67357433766166</v>
      </c>
    </row>
    <row r="15" spans="1:17" ht="18" customHeight="1">
      <c r="A15" s="106">
        <v>63</v>
      </c>
      <c r="B15">
        <v>28</v>
      </c>
      <c r="C15" s="1">
        <f>('Data &amp; PV'!$G$8/(1+7%)^B15)</f>
        <v>1304.0602931884889</v>
      </c>
      <c r="D15" s="5"/>
      <c r="E15" s="5"/>
      <c r="F15" s="5"/>
      <c r="O15" s="63">
        <v>63</v>
      </c>
      <c r="P15" s="59">
        <v>28</v>
      </c>
      <c r="Q15" s="64">
        <f>('Data &amp; PV'!$J$8/(1+7%)^'Type 2 Diabeties'!P15)</f>
        <v>95.956611530524938</v>
      </c>
    </row>
    <row r="16" spans="1:17">
      <c r="A16" s="106">
        <v>64</v>
      </c>
      <c r="B16">
        <v>29</v>
      </c>
      <c r="C16" s="1">
        <f>('Data &amp; PV'!$G$8/(1+7%)^B16)</f>
        <v>1218.7479375593352</v>
      </c>
      <c r="O16" s="65">
        <v>64</v>
      </c>
      <c r="P16" s="60">
        <v>29</v>
      </c>
      <c r="Q16" s="64">
        <f>('Data &amp; PV'!$J$8/(1+7%)^'Type 2 Diabeties'!P16)</f>
        <v>89.679076196752277</v>
      </c>
    </row>
    <row r="17" spans="1:17">
      <c r="A17" s="106">
        <v>65</v>
      </c>
      <c r="B17">
        <v>30</v>
      </c>
      <c r="C17" s="1">
        <f>('Data &amp; PV'!$G$8/(1+7%)^B17)</f>
        <v>1139.0167640741452</v>
      </c>
      <c r="O17" s="63">
        <v>65</v>
      </c>
      <c r="P17" s="59">
        <v>30</v>
      </c>
      <c r="Q17" s="64">
        <f>('Data &amp; PV'!$J$8/(1+7%)^'Type 2 Diabeties'!P17)</f>
        <v>83.812220744628291</v>
      </c>
    </row>
    <row r="18" spans="1:17">
      <c r="A18" s="106">
        <v>66</v>
      </c>
      <c r="B18">
        <v>31</v>
      </c>
      <c r="C18" s="1">
        <f>('Data &amp; PV'!$G$8/(1+7%)^B18)</f>
        <v>1064.5016486674253</v>
      </c>
      <c r="O18" s="11" t="s">
        <v>142</v>
      </c>
      <c r="Q18" s="4">
        <f>SUM(Q5:Q17)</f>
        <v>1499.2708266935911</v>
      </c>
    </row>
    <row r="19" spans="1:17">
      <c r="A19" s="106">
        <v>67</v>
      </c>
      <c r="B19">
        <v>32</v>
      </c>
      <c r="C19" s="1">
        <f>('Data &amp; PV'!$G$8/(1+7%)^B19)</f>
        <v>994.86135389479011</v>
      </c>
    </row>
    <row r="20" spans="1:17">
      <c r="A20" s="106">
        <v>68</v>
      </c>
      <c r="B20">
        <v>33</v>
      </c>
      <c r="C20" s="1">
        <f>('Data &amp; PV'!$G$8/(1+7%)^B20)</f>
        <v>929.77696625681313</v>
      </c>
    </row>
    <row r="21" spans="1:17">
      <c r="A21" s="106">
        <v>69</v>
      </c>
      <c r="B21">
        <v>34</v>
      </c>
      <c r="C21" s="1">
        <f>('Data &amp; PV'!$G$8/(1+7%)^B21)</f>
        <v>868.95043575403099</v>
      </c>
    </row>
    <row r="22" spans="1:17">
      <c r="A22" s="106">
        <v>70</v>
      </c>
      <c r="B22">
        <v>35</v>
      </c>
      <c r="C22" s="1">
        <f>('Data &amp; PV'!$G$8/(1+7%)^B22)</f>
        <v>812.10321098507563</v>
      </c>
    </row>
    <row r="23" spans="1:17">
      <c r="A23" s="106">
        <v>71</v>
      </c>
      <c r="B23">
        <v>36</v>
      </c>
      <c r="C23" s="1">
        <f>('Data &amp; PV'!$G$8/(1+7%)^B23)</f>
        <v>758.97496353745385</v>
      </c>
    </row>
    <row r="24" spans="1:17">
      <c r="A24" s="106">
        <v>72</v>
      </c>
      <c r="B24">
        <v>37</v>
      </c>
      <c r="C24" s="1">
        <f>('Data &amp; PV'!$G$8/(1+7%)^B24)</f>
        <v>709.3223958293961</v>
      </c>
    </row>
    <row r="25" spans="1:17">
      <c r="A25" s="106">
        <v>73</v>
      </c>
      <c r="B25">
        <v>38</v>
      </c>
      <c r="C25" s="1">
        <f>('Data &amp; PV'!$G$8/(1+7%)^B25)</f>
        <v>662.91812694336079</v>
      </c>
    </row>
    <row r="26" spans="1:17">
      <c r="A26" s="106">
        <v>74</v>
      </c>
      <c r="B26">
        <v>39</v>
      </c>
      <c r="C26" s="1">
        <f>('Data &amp; PV'!$G$8/(1+7%)^B26)</f>
        <v>619.5496513489353</v>
      </c>
    </row>
    <row r="27" spans="1:17">
      <c r="A27" s="106">
        <v>75</v>
      </c>
      <c r="B27">
        <v>40</v>
      </c>
      <c r="C27" s="1">
        <f>('Data &amp; PV'!$G$8/(1+7%)^B27)</f>
        <v>579.01836574666856</v>
      </c>
    </row>
    <row r="28" spans="1:17">
      <c r="A28" s="106">
        <v>76</v>
      </c>
      <c r="B28">
        <v>41</v>
      </c>
      <c r="C28" s="1">
        <f>('Data &amp; PV'!$G$8/(1+7%)^B28)</f>
        <v>541.13865957632572</v>
      </c>
    </row>
    <row r="29" spans="1:17">
      <c r="A29" s="106">
        <v>77</v>
      </c>
      <c r="B29">
        <v>42</v>
      </c>
      <c r="C29" s="1">
        <f>('Data &amp; PV'!$G$8/(1+7%)^B29)</f>
        <v>505.73706502460351</v>
      </c>
    </row>
    <row r="30" spans="1:17">
      <c r="A30" s="106">
        <v>78</v>
      </c>
      <c r="B30">
        <v>43</v>
      </c>
      <c r="C30" s="1">
        <f>('Data &amp; PV'!$G$8/(1+7%)^B30)</f>
        <v>472.65146263981632</v>
      </c>
    </row>
    <row r="31" spans="1:17">
      <c r="A31" s="11" t="s">
        <v>99</v>
      </c>
      <c r="B31" s="11"/>
      <c r="C31" s="21">
        <f>SUM(C5:C30)</f>
        <v>29894.750187047826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topLeftCell="A13" workbookViewId="0">
      <selection activeCell="N32" sqref="N32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5" t="s">
        <v>143</v>
      </c>
      <c r="B1" s="326"/>
      <c r="C1" s="326"/>
      <c r="D1" s="8"/>
      <c r="E1" s="8"/>
      <c r="F1" s="8"/>
      <c r="G1" s="8"/>
      <c r="L1" s="325" t="s">
        <v>144</v>
      </c>
      <c r="M1" s="326"/>
      <c r="N1" s="326"/>
    </row>
    <row r="2" spans="1:16" s="3" customFormat="1">
      <c r="A2" s="325" t="s">
        <v>89</v>
      </c>
      <c r="B2" s="326"/>
      <c r="C2" s="326"/>
      <c r="D2" s="7"/>
      <c r="E2" s="7"/>
      <c r="F2" s="7"/>
      <c r="L2" s="325" t="s">
        <v>132</v>
      </c>
      <c r="M2" s="326"/>
      <c r="N2" s="326"/>
    </row>
    <row r="3" spans="1:16" s="3" customFormat="1" ht="38.25" customHeight="1">
      <c r="A3" s="325" t="s">
        <v>145</v>
      </c>
      <c r="B3" s="326"/>
      <c r="C3" s="326"/>
      <c r="D3" s="6"/>
      <c r="E3" s="6"/>
      <c r="F3" s="6"/>
      <c r="L3" s="325" t="s">
        <v>146</v>
      </c>
      <c r="M3" s="326"/>
      <c r="N3" s="326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(0/(1+5%)^B5)</f>
        <v>0</v>
      </c>
      <c r="D5" s="82" t="s">
        <v>148</v>
      </c>
      <c r="E5" s="82"/>
      <c r="L5" s="106" t="s">
        <v>147</v>
      </c>
      <c r="M5">
        <v>3</v>
      </c>
      <c r="N5" s="1">
        <f>(0/(1+5%)^M5)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PV'!$G$9/(1+7%)^B6)</f>
        <v>1561.0890049932329</v>
      </c>
      <c r="L6" s="106">
        <v>40</v>
      </c>
      <c r="M6">
        <v>4</v>
      </c>
      <c r="N6" s="1">
        <f>('Data &amp; PV'!$J$9/(1+7%)^M6)</f>
        <v>164.60227095137407</v>
      </c>
    </row>
    <row r="7" spans="1:16">
      <c r="A7" s="106">
        <v>41</v>
      </c>
      <c r="B7">
        <v>5</v>
      </c>
      <c r="C7" s="1">
        <f>('Data &amp; PV'!$G$9/(1+7%)^B7)</f>
        <v>1458.9616869095635</v>
      </c>
      <c r="L7" s="106">
        <v>41</v>
      </c>
      <c r="M7">
        <v>5</v>
      </c>
      <c r="N7" s="1">
        <f>('Data &amp; PV'!$J$9/(1+7%)^M7)</f>
        <v>153.8338980853963</v>
      </c>
    </row>
    <row r="8" spans="1:16">
      <c r="A8" s="106">
        <v>42</v>
      </c>
      <c r="B8">
        <v>6</v>
      </c>
      <c r="C8" s="1">
        <f>('Data &amp; PV'!$G$9/(1+7%)^B8)</f>
        <v>1363.5155952425828</v>
      </c>
      <c r="L8" s="106">
        <v>42</v>
      </c>
      <c r="M8">
        <v>6</v>
      </c>
      <c r="N8" s="1">
        <f>('Data &amp; PV'!$J$9/(1+7%)^M8)</f>
        <v>143.76999821065075</v>
      </c>
    </row>
    <row r="9" spans="1:16">
      <c r="A9" s="106">
        <v>43</v>
      </c>
      <c r="B9">
        <v>7</v>
      </c>
      <c r="C9" s="1">
        <f>('Data &amp; PV'!$G$9/(1+7%)^B9)</f>
        <v>1274.3136404136287</v>
      </c>
      <c r="L9" s="106">
        <v>43</v>
      </c>
      <c r="M9">
        <v>7</v>
      </c>
      <c r="N9" s="1">
        <f>('Data &amp; PV'!$J$9/(1+7%)^M9)</f>
        <v>134.36448430901939</v>
      </c>
    </row>
    <row r="10" spans="1:16">
      <c r="A10" s="106">
        <v>44</v>
      </c>
      <c r="B10">
        <v>8</v>
      </c>
      <c r="C10" s="1">
        <f>('Data &amp; PV'!$G$9/(1+7%)^B10)</f>
        <v>1190.9473274893726</v>
      </c>
      <c r="L10" s="106">
        <v>44</v>
      </c>
      <c r="M10">
        <v>8</v>
      </c>
      <c r="N10" s="1">
        <f>('Data &amp; PV'!$J$9/(1+7%)^M10)</f>
        <v>125.57428440095271</v>
      </c>
    </row>
    <row r="11" spans="1:16" s="3" customFormat="1">
      <c r="A11" s="106">
        <v>45</v>
      </c>
      <c r="B11">
        <v>9</v>
      </c>
      <c r="C11" s="1">
        <f>('Data &amp; PV'!$G$9/(1+7%)^B11)</f>
        <v>1113.0348855040863</v>
      </c>
      <c r="L11" s="106">
        <v>45</v>
      </c>
      <c r="M11">
        <v>9</v>
      </c>
      <c r="N11" s="1">
        <f>('Data &amp; PV'!$J$9/(1+7%)^M11)</f>
        <v>117.35914429995579</v>
      </c>
    </row>
    <row r="12" spans="1:16">
      <c r="A12" s="106">
        <v>46</v>
      </c>
      <c r="B12">
        <v>10</v>
      </c>
      <c r="C12" s="1">
        <f>('Data &amp; PV'!$G$9/(1+7%)^B12)</f>
        <v>1040.2195191626977</v>
      </c>
      <c r="L12" s="106">
        <v>46</v>
      </c>
      <c r="M12">
        <v>10</v>
      </c>
      <c r="N12" s="1">
        <f>('Data &amp; PV'!$J$9/(1+7%)^M12)</f>
        <v>109.68144327098672</v>
      </c>
    </row>
    <row r="13" spans="1:16">
      <c r="A13" s="106">
        <v>47</v>
      </c>
      <c r="B13">
        <v>11</v>
      </c>
      <c r="C13" s="1">
        <f>('Data &amp; PV'!$G$9/(1+7%)^B13)</f>
        <v>972.1677749184089</v>
      </c>
      <c r="L13" s="106">
        <v>47</v>
      </c>
      <c r="M13">
        <v>11</v>
      </c>
      <c r="N13" s="1">
        <f>('Data &amp; PV'!$J$9/(1+7%)^M13)</f>
        <v>102.50602174858571</v>
      </c>
    </row>
    <row r="14" spans="1:16">
      <c r="A14" s="106">
        <v>48</v>
      </c>
      <c r="B14">
        <v>12</v>
      </c>
      <c r="C14" s="1">
        <f>('Data &amp; PV'!$G$9/(1+7%)^B14)</f>
        <v>908.56801394243837</v>
      </c>
      <c r="L14" s="106">
        <v>48</v>
      </c>
      <c r="M14">
        <v>12</v>
      </c>
      <c r="N14" s="1">
        <f>('Data &amp; PV'!$J$9/(1+7%)^M14)</f>
        <v>95.800020325781048</v>
      </c>
    </row>
    <row r="15" spans="1:16">
      <c r="A15" s="106">
        <v>49</v>
      </c>
      <c r="B15">
        <v>13</v>
      </c>
      <c r="C15" s="1">
        <f>('Data &amp; PV'!$G$9/(1+7%)^B15)</f>
        <v>849.12898499293306</v>
      </c>
      <c r="L15" s="106">
        <v>49</v>
      </c>
      <c r="M15">
        <v>13</v>
      </c>
      <c r="N15" s="1">
        <f>('Data &amp; PV'!$J$9/(1+7%)^M15)</f>
        <v>89.532729276430885</v>
      </c>
    </row>
    <row r="16" spans="1:16" ht="18" customHeight="1">
      <c r="A16" s="106">
        <v>50</v>
      </c>
      <c r="B16">
        <v>14</v>
      </c>
      <c r="C16" s="1">
        <f>('Data &amp; PV'!$G$9/(1+7%)^B16)</f>
        <v>793.57849064760103</v>
      </c>
      <c r="D16" s="5"/>
      <c r="E16" s="5"/>
      <c r="F16" s="5"/>
      <c r="L16" s="106">
        <v>50</v>
      </c>
      <c r="M16">
        <v>14</v>
      </c>
      <c r="N16" s="1">
        <f>('Data &amp; PV'!$J$9/(1+7%)^M16)</f>
        <v>83.675447921898026</v>
      </c>
    </row>
    <row r="17" spans="1:14">
      <c r="A17" s="106">
        <v>51</v>
      </c>
      <c r="B17">
        <v>15</v>
      </c>
      <c r="C17" s="1">
        <f>('Data &amp; PV'!$G$9/(1+7%)^B17)</f>
        <v>741.66214079215035</v>
      </c>
      <c r="L17" s="106">
        <v>51</v>
      </c>
      <c r="M17">
        <v>15</v>
      </c>
      <c r="N17" s="1">
        <f>('Data &amp; PV'!$J$9/(1+7%)^M17)</f>
        <v>78.201353198035534</v>
      </c>
    </row>
    <row r="18" spans="1:14">
      <c r="A18" s="106">
        <v>52</v>
      </c>
      <c r="B18">
        <v>16</v>
      </c>
      <c r="C18" s="1">
        <f>('Data &amp; PV'!$G$9/(1+7%)^B18)</f>
        <v>693.14218765621536</v>
      </c>
      <c r="L18" s="106">
        <v>52</v>
      </c>
      <c r="M18">
        <v>16</v>
      </c>
      <c r="N18" s="1">
        <f>('Data &amp; PV'!$J$9/(1+7%)^M18)</f>
        <v>73.085376820593964</v>
      </c>
    </row>
    <row r="19" spans="1:14">
      <c r="A19" s="106">
        <v>53</v>
      </c>
      <c r="B19">
        <v>17</v>
      </c>
      <c r="C19" s="1">
        <f>('Data &amp; PV'!$G$9/(1+7%)^B19)</f>
        <v>647.79643706188358</v>
      </c>
      <c r="L19" s="106">
        <v>53</v>
      </c>
      <c r="M19">
        <v>17</v>
      </c>
      <c r="N19" s="1">
        <f>('Data &amp; PV'!$J$9/(1+7%)^M19)</f>
        <v>68.30409048653641</v>
      </c>
    </row>
    <row r="20" spans="1:14">
      <c r="A20" s="106">
        <v>54</v>
      </c>
      <c r="B20">
        <v>18</v>
      </c>
      <c r="C20" s="1">
        <f>('Data &amp; PV'!$G$9/(1+7%)^B20)</f>
        <v>605.41723089895652</v>
      </c>
      <c r="L20" s="106">
        <v>54</v>
      </c>
      <c r="M20">
        <v>18</v>
      </c>
      <c r="N20" s="1">
        <f>('Data &amp; PV'!$J$9/(1+7%)^M20)</f>
        <v>63.835598585548048</v>
      </c>
    </row>
    <row r="21" spans="1:14">
      <c r="A21" s="106">
        <v>55</v>
      </c>
      <c r="B21">
        <v>19</v>
      </c>
      <c r="C21" s="1">
        <f>('Data &amp; PV'!$G$9/(1+7%)^B21)</f>
        <v>565.81049616724908</v>
      </c>
      <c r="L21" s="106">
        <v>55</v>
      </c>
      <c r="M21">
        <v>19</v>
      </c>
      <c r="N21" s="1">
        <f>('Data &amp; PV'!$J$9/(1+7%)^M21)</f>
        <v>59.659437930418733</v>
      </c>
    </row>
    <row r="22" spans="1:14">
      <c r="A22" s="106">
        <v>56</v>
      </c>
      <c r="B22">
        <v>20</v>
      </c>
      <c r="C22" s="1">
        <f>('Data &amp; PV'!$G$9/(1+7%)^B22)</f>
        <v>528.79485623107394</v>
      </c>
      <c r="L22" s="106">
        <v>56</v>
      </c>
      <c r="M22">
        <v>20</v>
      </c>
      <c r="N22" s="1">
        <f>('Data &amp; PV'!$J$9/(1+7%)^M22)</f>
        <v>55.756484047120317</v>
      </c>
    </row>
    <row r="23" spans="1:14">
      <c r="A23" s="106">
        <v>57</v>
      </c>
      <c r="B23">
        <v>21</v>
      </c>
      <c r="C23" s="1">
        <f>('Data &amp; PV'!$G$9/(1+7%)^B23)</f>
        <v>494.20080021595692</v>
      </c>
      <c r="L23" s="106">
        <v>57</v>
      </c>
      <c r="M23">
        <v>21</v>
      </c>
      <c r="N23" s="1">
        <f>('Data &amp; PV'!$J$9/(1+7%)^M23)</f>
        <v>52.108863595439544</v>
      </c>
    </row>
    <row r="24" spans="1:14">
      <c r="A24" s="106">
        <v>58</v>
      </c>
      <c r="B24">
        <v>22</v>
      </c>
      <c r="C24" s="1">
        <f>('Data &amp; PV'!$G$9/(1+7%)^B24)</f>
        <v>461.869906743885</v>
      </c>
      <c r="L24" s="106">
        <v>58</v>
      </c>
      <c r="M24">
        <v>22</v>
      </c>
      <c r="N24" s="1">
        <f>('Data &amp; PV'!$J$9/(1+7%)^M24)</f>
        <v>48.699872519102378</v>
      </c>
    </row>
    <row r="25" spans="1:14">
      <c r="A25" s="106">
        <v>59</v>
      </c>
      <c r="B25">
        <v>23</v>
      </c>
      <c r="C25" s="1">
        <f>('Data &amp; PV'!$G$9/(1+7%)^B25)</f>
        <v>431.65411845222894</v>
      </c>
      <c r="L25" s="106">
        <v>59</v>
      </c>
      <c r="M25">
        <v>23</v>
      </c>
      <c r="N25" s="1">
        <f>('Data &amp; PV'!$J$9/(1+7%)^M25)</f>
        <v>45.513899550562968</v>
      </c>
    </row>
    <row r="26" spans="1:14">
      <c r="A26" s="106">
        <v>60</v>
      </c>
      <c r="B26">
        <v>24</v>
      </c>
      <c r="C26" s="1">
        <f>('Data &amp; PV'!$G$9/(1+7%)^B26)</f>
        <v>403.41506397404572</v>
      </c>
      <c r="L26" s="106">
        <v>60</v>
      </c>
      <c r="M26">
        <v>24</v>
      </c>
      <c r="N26" s="1">
        <f>('Data &amp; PV'!$J$9/(1+7%)^M26)</f>
        <v>42.536354720152303</v>
      </c>
    </row>
    <row r="27" spans="1:14">
      <c r="A27" s="106">
        <v>61</v>
      </c>
      <c r="B27">
        <v>25</v>
      </c>
      <c r="C27" s="1">
        <f>('Data &amp; PV'!$G$9/(1+7%)^B27)</f>
        <v>377.02342427480909</v>
      </c>
      <c r="L27" s="106">
        <v>61</v>
      </c>
      <c r="M27">
        <v>25</v>
      </c>
      <c r="N27" s="1">
        <f>('Data &amp; PV'!$J$9/(1+7%)^M27)</f>
        <v>39.753602542198415</v>
      </c>
    </row>
    <row r="28" spans="1:14">
      <c r="A28" s="106">
        <v>62</v>
      </c>
      <c r="B28">
        <v>26</v>
      </c>
      <c r="C28" s="1">
        <f>('Data &amp; PV'!$G$9/(1+7%)^B28)</f>
        <v>352.35834044374684</v>
      </c>
      <c r="L28" s="106">
        <v>62</v>
      </c>
      <c r="M28">
        <v>26</v>
      </c>
      <c r="N28" s="1">
        <f>('Data &amp; PV'!$J$9/(1+7%)^M28)</f>
        <v>37.152899572148051</v>
      </c>
    </row>
    <row r="29" spans="1:14">
      <c r="A29" s="106">
        <v>63</v>
      </c>
      <c r="B29">
        <v>27</v>
      </c>
      <c r="C29" s="1">
        <f>('Data &amp; PV'!$G$9/(1+7%)^B29)</f>
        <v>329.30686022780071</v>
      </c>
      <c r="L29" s="106">
        <v>63</v>
      </c>
      <c r="M29">
        <v>27</v>
      </c>
      <c r="N29" s="1">
        <f>('Data &amp; PV'!$J$9/(1+7%)^M29)</f>
        <v>34.722336048736494</v>
      </c>
    </row>
    <row r="30" spans="1:14">
      <c r="A30" s="106">
        <v>64</v>
      </c>
      <c r="B30">
        <v>28</v>
      </c>
      <c r="C30" s="1">
        <f>('Data &amp; PV'!$G$9/(1+7%)^B30)</f>
        <v>307.76342077364558</v>
      </c>
      <c r="L30" s="106">
        <v>64</v>
      </c>
      <c r="M30">
        <v>28</v>
      </c>
      <c r="N30" s="1">
        <f>('Data &amp; PV'!$J$9/(1+7%)^M30)</f>
        <v>32.450781353959343</v>
      </c>
    </row>
    <row r="31" spans="1:14">
      <c r="A31" s="106">
        <v>65</v>
      </c>
      <c r="B31">
        <v>29</v>
      </c>
      <c r="C31" s="1">
        <f>('Data &amp; PV'!$G$9/(1+7%)^B31)</f>
        <v>287.62936520901457</v>
      </c>
      <c r="L31" s="106">
        <v>65</v>
      </c>
      <c r="M31">
        <v>29</v>
      </c>
      <c r="N31" s="1">
        <f>('Data &amp; PV'!$J$9/(1+7%)^M31)</f>
        <v>30.327833041083498</v>
      </c>
    </row>
    <row r="32" spans="1:14">
      <c r="A32" s="106">
        <v>66</v>
      </c>
      <c r="B32">
        <v>30</v>
      </c>
      <c r="C32" s="1">
        <f>('Data &amp; PV'!$G$9/(1+7%)^B32)</f>
        <v>268.81249084954635</v>
      </c>
      <c r="L32" s="223" t="s">
        <v>150</v>
      </c>
      <c r="M32" s="29"/>
      <c r="N32" s="222">
        <f>SUM(N5:N31)</f>
        <v>2082.8085268126674</v>
      </c>
    </row>
    <row r="33" spans="1:3" s="3" customFormat="1">
      <c r="A33" s="106">
        <v>67</v>
      </c>
      <c r="B33">
        <v>31</v>
      </c>
      <c r="C33" s="1">
        <f>('Data &amp; PV'!$G$9/(1+7%)^B33)</f>
        <v>251.22662696219277</v>
      </c>
    </row>
    <row r="34" spans="1:3">
      <c r="A34" s="106">
        <v>68</v>
      </c>
      <c r="B34">
        <v>32</v>
      </c>
      <c r="C34" s="1">
        <f>('Data &amp; PV'!$G$9/(1+7%)^B34)</f>
        <v>234.79124015158206</v>
      </c>
    </row>
    <row r="35" spans="1:3">
      <c r="A35" s="106">
        <v>69</v>
      </c>
      <c r="B35">
        <v>33</v>
      </c>
      <c r="C35" s="1">
        <f>('Data &amp; PV'!$G$9/(1+7%)^B35)</f>
        <v>219.43106556222622</v>
      </c>
    </row>
    <row r="36" spans="1:3">
      <c r="A36" s="106">
        <v>70</v>
      </c>
      <c r="B36">
        <v>34</v>
      </c>
      <c r="C36" s="1">
        <f>('Data &amp; PV'!$G$9/(1+7%)^B36)</f>
        <v>205.07576220768806</v>
      </c>
    </row>
    <row r="37" spans="1:3">
      <c r="A37" s="106">
        <v>71</v>
      </c>
      <c r="B37">
        <v>35</v>
      </c>
      <c r="C37" s="1">
        <f>('Data &amp; PV'!$G$9/(1+7%)^B37)</f>
        <v>191.65959084830661</v>
      </c>
    </row>
    <row r="38" spans="1:3">
      <c r="A38" s="106">
        <v>72</v>
      </c>
      <c r="B38">
        <v>36</v>
      </c>
      <c r="C38" s="1">
        <f>('Data &amp; PV'!$G$9/(1+7%)^B38)</f>
        <v>179.12111294234262</v>
      </c>
    </row>
    <row r="39" spans="1:3">
      <c r="A39" s="106">
        <v>73</v>
      </c>
      <c r="B39">
        <v>37</v>
      </c>
      <c r="C39" s="1">
        <f>('Data &amp; PV'!$G$9/(1+7%)^B39)</f>
        <v>167.40290929190897</v>
      </c>
    </row>
    <row r="40" spans="1:3">
      <c r="A40" s="106">
        <v>74</v>
      </c>
      <c r="B40">
        <v>38</v>
      </c>
      <c r="C40" s="1">
        <f>('Data &amp; PV'!$G$9/(1+7%)^B40)</f>
        <v>156.45131709524202</v>
      </c>
    </row>
    <row r="41" spans="1:3">
      <c r="A41" s="106">
        <v>75</v>
      </c>
      <c r="B41">
        <v>39</v>
      </c>
      <c r="C41" s="1">
        <f>('Data &amp; PV'!$G$9/(1+7%)^B41)</f>
        <v>146.21618420116079</v>
      </c>
    </row>
    <row r="42" spans="1:3">
      <c r="A42" s="106">
        <v>76</v>
      </c>
      <c r="B42">
        <v>40</v>
      </c>
      <c r="C42" s="1">
        <f>('Data &amp; PV'!$G$9/(1+7%)^B42)</f>
        <v>136.65063944033719</v>
      </c>
    </row>
    <row r="43" spans="1:3">
      <c r="A43" s="106">
        <v>77</v>
      </c>
      <c r="B43">
        <v>41</v>
      </c>
      <c r="C43" s="1">
        <f>('Data &amp; PV'!$G$9/(1+7%)^B43)</f>
        <v>127.71087798162353</v>
      </c>
    </row>
    <row r="44" spans="1:3" s="3" customFormat="1">
      <c r="A44" s="106">
        <v>78</v>
      </c>
      <c r="B44">
        <v>42</v>
      </c>
      <c r="C44" s="1">
        <f>('Data &amp; PV'!$G$9/(1+7%)^B44)</f>
        <v>119.35596073048929</v>
      </c>
    </row>
    <row r="45" spans="1:3">
      <c r="A45" s="177" t="s">
        <v>99</v>
      </c>
      <c r="B45" s="177"/>
      <c r="C45" s="4">
        <f>SUM(C5:C44)</f>
        <v>22157.275351603847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C6" sqref="C6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5" t="s">
        <v>151</v>
      </c>
      <c r="B1" s="326"/>
      <c r="C1" s="326"/>
      <c r="D1" s="8"/>
      <c r="E1" s="8"/>
      <c r="F1" s="8"/>
      <c r="G1" s="8"/>
      <c r="K1" s="325" t="s">
        <v>152</v>
      </c>
      <c r="L1" s="326"/>
      <c r="M1" s="326"/>
    </row>
    <row r="2" spans="1:20" s="3" customFormat="1" ht="24" customHeight="1">
      <c r="A2" s="325" t="s">
        <v>89</v>
      </c>
      <c r="B2" s="326"/>
      <c r="C2" s="326"/>
      <c r="D2" s="7"/>
      <c r="E2" s="7"/>
      <c r="F2" s="7"/>
      <c r="K2" s="325" t="s">
        <v>132</v>
      </c>
      <c r="L2" s="326"/>
      <c r="M2" s="326"/>
    </row>
    <row r="3" spans="1:20" s="3" customFormat="1" ht="51" customHeight="1">
      <c r="A3" s="325" t="s">
        <v>153</v>
      </c>
      <c r="B3" s="326"/>
      <c r="C3" s="326"/>
      <c r="D3" s="6"/>
      <c r="E3" s="6"/>
      <c r="F3" s="6"/>
      <c r="K3" s="325" t="s">
        <v>154</v>
      </c>
      <c r="L3" s="326"/>
      <c r="M3" s="326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(0/(1+7%)^B5)</f>
        <v>0</v>
      </c>
      <c r="K5" s="63">
        <v>37</v>
      </c>
      <c r="L5" s="59">
        <v>0</v>
      </c>
      <c r="M5" s="64">
        <f>(0/(1+5%)^L5)</f>
        <v>0</v>
      </c>
    </row>
    <row r="6" spans="1:20">
      <c r="A6" s="106">
        <v>38</v>
      </c>
      <c r="B6">
        <v>1</v>
      </c>
      <c r="C6" s="1">
        <f>('Data &amp; PV'!$G$10/(1+7%)^B6)</f>
        <v>1692.6312831775699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PV'!$J$10/(1+7%)^L6)</f>
        <v>81.308411214953267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PV'!$G$10/(1+7%)^B7)</f>
        <v>1581.8983954930559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PV'!$J$10/(1+7%)^L7)</f>
        <v>75.989169359769406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PV'!$G$10/(1+7%)^B8)</f>
        <v>1478.4097154140709</v>
      </c>
      <c r="K8" s="65">
        <v>40</v>
      </c>
      <c r="L8" s="60">
        <v>3</v>
      </c>
      <c r="M8" s="64">
        <f>('Data &amp; PV'!$J$10/(1+7%)^L8)</f>
        <v>71.017915289504117</v>
      </c>
    </row>
    <row r="9" spans="1:20">
      <c r="A9" s="106">
        <v>41</v>
      </c>
      <c r="B9">
        <v>4</v>
      </c>
      <c r="C9" s="1">
        <f>('Data &amp; PV'!$G$10/(1+7%)^B9)</f>
        <v>1381.6913228168887</v>
      </c>
      <c r="K9" s="63">
        <v>41</v>
      </c>
      <c r="L9" s="59">
        <v>4</v>
      </c>
      <c r="M9" s="64">
        <f>('Data &amp; PV'!$J$10/(1+7%)^L9)</f>
        <v>66.371883448134696</v>
      </c>
    </row>
    <row r="10" spans="1:20">
      <c r="A10" s="106">
        <v>42</v>
      </c>
      <c r="B10">
        <v>5</v>
      </c>
      <c r="C10" s="1">
        <f>('Data &amp; PV'!$G$10/(1+7%)^B10)</f>
        <v>1291.3003016980267</v>
      </c>
      <c r="K10" s="65">
        <v>42</v>
      </c>
      <c r="L10" s="60">
        <v>5</v>
      </c>
      <c r="M10" s="64">
        <f>('Data &amp; PV'!$J$10/(1+7%)^L10)</f>
        <v>62.029797615079147</v>
      </c>
    </row>
    <row r="11" spans="1:20">
      <c r="A11" s="106">
        <v>43</v>
      </c>
      <c r="B11">
        <v>6</v>
      </c>
      <c r="C11" s="1">
        <f>('Data &amp; PV'!$G$10/(1+7%)^B11)</f>
        <v>1206.8227118673149</v>
      </c>
      <c r="K11" s="63">
        <v>43</v>
      </c>
      <c r="L11" s="59">
        <v>6</v>
      </c>
      <c r="M11" s="64">
        <f>('Data &amp; PV'!$J$10/(1+7%)^L11)</f>
        <v>57.971773472036588</v>
      </c>
    </row>
    <row r="12" spans="1:20">
      <c r="A12" s="106">
        <v>44</v>
      </c>
      <c r="B12">
        <v>7</v>
      </c>
      <c r="C12" s="1">
        <f>('Data &amp; PV'!$G$10/(1+7%)^B12)</f>
        <v>1127.871693333939</v>
      </c>
      <c r="K12" s="65">
        <v>44</v>
      </c>
      <c r="L12" s="60">
        <v>7</v>
      </c>
      <c r="M12" s="64">
        <f>('Data &amp; PV'!$J$10/(1+7%)^L12)</f>
        <v>54.179227543959428</v>
      </c>
    </row>
    <row r="13" spans="1:20">
      <c r="A13" s="106">
        <v>45</v>
      </c>
      <c r="B13">
        <v>8</v>
      </c>
      <c r="C13" s="1">
        <f>('Data &amp; PV'!$G$10/(1+7%)^B13)</f>
        <v>1054.0856947046159</v>
      </c>
      <c r="K13" s="63">
        <v>45</v>
      </c>
      <c r="L13" s="59">
        <v>8</v>
      </c>
      <c r="M13" s="64">
        <f>('Data &amp; PV'!$J$10/(1+7%)^L13)</f>
        <v>50.634792097158346</v>
      </c>
    </row>
    <row r="14" spans="1:20">
      <c r="A14" s="106">
        <v>46</v>
      </c>
      <c r="B14">
        <v>9</v>
      </c>
      <c r="C14" s="1">
        <f>('Data &amp; PV'!$G$10/(1+7%)^B14)</f>
        <v>985.1268174809494</v>
      </c>
      <c r="K14" s="65">
        <v>46</v>
      </c>
      <c r="L14" s="60">
        <v>9</v>
      </c>
      <c r="M14" s="64">
        <f>('Data &amp; PV'!$J$10/(1+7%)^L14)</f>
        <v>47.322235604820875</v>
      </c>
    </row>
    <row r="15" spans="1:20">
      <c r="A15" s="106">
        <v>47</v>
      </c>
      <c r="B15">
        <v>10</v>
      </c>
      <c r="C15" s="1">
        <f>('Data &amp; PV'!$G$10/(1+7%)^B15)</f>
        <v>920.67926867378446</v>
      </c>
      <c r="K15" s="63">
        <v>47</v>
      </c>
      <c r="L15" s="59">
        <v>10</v>
      </c>
      <c r="M15" s="64">
        <f>('Data &amp; PV'!$J$10/(1+7%)^L15)</f>
        <v>44.22638841572045</v>
      </c>
    </row>
    <row r="16" spans="1:20">
      <c r="A16" s="106">
        <v>48</v>
      </c>
      <c r="B16">
        <v>11</v>
      </c>
      <c r="C16" s="1">
        <f>('Data &amp; PV'!$G$10/(1+7%)^B16)</f>
        <v>860.44791464839659</v>
      </c>
      <c r="K16" s="65">
        <v>48</v>
      </c>
      <c r="L16" s="60">
        <v>11</v>
      </c>
      <c r="M16" s="64">
        <f>('Data &amp; PV'!$J$10/(1+7%)^L16)</f>
        <v>41.33307328572004</v>
      </c>
    </row>
    <row r="17" spans="1:13">
      <c r="A17" s="106">
        <v>49</v>
      </c>
      <c r="B17">
        <v>12</v>
      </c>
      <c r="C17" s="1">
        <f>('Data &amp; PV'!$G$10/(1+7%)^B17)</f>
        <v>804.1569295779409</v>
      </c>
      <c r="K17" s="63">
        <v>49</v>
      </c>
      <c r="L17" s="59">
        <v>12</v>
      </c>
      <c r="M17" s="64">
        <f>('Data &amp; PV'!$J$10/(1+7%)^L17)</f>
        <v>38.629040453943972</v>
      </c>
    </row>
    <row r="18" spans="1:13">
      <c r="A18" s="106">
        <v>50</v>
      </c>
      <c r="B18">
        <v>13</v>
      </c>
      <c r="C18" s="1">
        <f>('Data &amp; PV'!$G$10/(1+7%)^B18)</f>
        <v>751.54853231583263</v>
      </c>
      <c r="K18" s="65">
        <v>50</v>
      </c>
      <c r="L18" s="60">
        <v>13</v>
      </c>
      <c r="M18" s="64">
        <f>('Data &amp; PV'!$J$10/(1+7%)^L18)</f>
        <v>36.101906966302771</v>
      </c>
    </row>
    <row r="19" spans="1:13">
      <c r="A19" s="106">
        <v>51</v>
      </c>
      <c r="B19">
        <v>14</v>
      </c>
      <c r="C19" s="1">
        <f>('Data &amp; PV'!$G$10/(1+7%)^B19)</f>
        <v>702.38180590264733</v>
      </c>
      <c r="K19" s="63">
        <v>51</v>
      </c>
      <c r="L19" s="59">
        <v>14</v>
      </c>
      <c r="M19" s="64">
        <f>('Data &amp; PV'!$J$10/(1+7%)^L19)</f>
        <v>33.740099968507266</v>
      </c>
    </row>
    <row r="20" spans="1:13" s="3" customFormat="1">
      <c r="A20" s="106">
        <v>52</v>
      </c>
      <c r="B20">
        <v>15</v>
      </c>
      <c r="C20" s="1">
        <f>('Data &amp; PV'!$G$10/(1+7%)^B20)</f>
        <v>656.43159430153946</v>
      </c>
      <c r="K20" s="65">
        <v>52</v>
      </c>
      <c r="L20" s="60">
        <v>15</v>
      </c>
      <c r="M20" s="64">
        <f>('Data &amp; PV'!$J$10/(1+7%)^L20)</f>
        <v>31.532803708885293</v>
      </c>
    </row>
    <row r="21" spans="1:13">
      <c r="A21" s="106">
        <v>53</v>
      </c>
      <c r="B21">
        <v>16</v>
      </c>
      <c r="C21" s="1">
        <f>('Data &amp; PV'!$G$10/(1+7%)^B21)</f>
        <v>613.48747130985009</v>
      </c>
      <c r="K21" s="63">
        <v>53</v>
      </c>
      <c r="L21" s="59">
        <v>16</v>
      </c>
      <c r="M21" s="64">
        <f>('Data &amp; PV'!$J$10/(1+7%)^L21)</f>
        <v>29.469910008304016</v>
      </c>
    </row>
    <row r="22" spans="1:13">
      <c r="A22" s="106">
        <v>54</v>
      </c>
      <c r="B22">
        <v>17</v>
      </c>
      <c r="C22" s="1">
        <f>('Data &amp; PV'!$G$10/(1+7%)^B22)</f>
        <v>573.35277692509351</v>
      </c>
      <c r="K22" s="65">
        <v>54</v>
      </c>
      <c r="L22" s="60">
        <v>17</v>
      </c>
      <c r="M22" s="64">
        <f>('Data &amp; PV'!$J$10/(1+7%)^L22)</f>
        <v>27.541971970377585</v>
      </c>
    </row>
    <row r="23" spans="1:13">
      <c r="A23" s="106">
        <v>55</v>
      </c>
      <c r="B23">
        <v>18</v>
      </c>
      <c r="C23" s="1">
        <f>('Data &amp; PV'!$G$10/(1+7%)^B23)</f>
        <v>535.8437167524238</v>
      </c>
      <c r="K23" s="63">
        <v>55</v>
      </c>
      <c r="L23" s="59">
        <v>18</v>
      </c>
      <c r="M23" s="64">
        <f>('Data &amp; PV'!$J$10/(1+7%)^L23)</f>
        <v>25.740160719979048</v>
      </c>
    </row>
    <row r="24" spans="1:13">
      <c r="A24" s="106">
        <v>56</v>
      </c>
      <c r="B24">
        <v>19</v>
      </c>
      <c r="C24" s="1">
        <f>('Data &amp; PV'!$G$10/(1+7%)^B24)</f>
        <v>500.78852032936805</v>
      </c>
      <c r="K24" s="65">
        <v>56</v>
      </c>
      <c r="L24" s="60">
        <v>19</v>
      </c>
      <c r="M24" s="64">
        <f>('Data &amp; PV'!$J$10/(1+7%)^L24)</f>
        <v>24.056224971943035</v>
      </c>
    </row>
    <row r="25" spans="1:13">
      <c r="A25" s="106">
        <v>57</v>
      </c>
      <c r="B25">
        <v>20</v>
      </c>
      <c r="C25" s="1">
        <f>('Data &amp; PV'!$G$10/(1+7%)^B25)</f>
        <v>468.02665451342807</v>
      </c>
      <c r="K25" s="63">
        <v>57</v>
      </c>
      <c r="L25" s="59">
        <v>20</v>
      </c>
      <c r="M25" s="64">
        <f>('Data &amp; PV'!$J$10/(1+7%)^L25)</f>
        <v>22.482453244806578</v>
      </c>
    </row>
    <row r="26" spans="1:13">
      <c r="A26" s="106">
        <v>58</v>
      </c>
      <c r="B26">
        <v>21</v>
      </c>
      <c r="C26" s="1">
        <f>('Data &amp; PV'!$G$10/(1+7%)^B26)</f>
        <v>437.40808833030661</v>
      </c>
      <c r="K26" s="65">
        <v>58</v>
      </c>
      <c r="L26" s="60">
        <v>21</v>
      </c>
      <c r="M26" s="64">
        <f>('Data &amp; PV'!$J$10/(1+7%)^L26)</f>
        <v>21.011638546548202</v>
      </c>
    </row>
    <row r="27" spans="1:13">
      <c r="A27" s="106">
        <v>59</v>
      </c>
      <c r="B27">
        <v>22</v>
      </c>
      <c r="C27" s="1">
        <f>('Data &amp; PV'!$G$10/(1+7%)^B27)</f>
        <v>408.79260591617441</v>
      </c>
      <c r="K27" s="63">
        <v>59</v>
      </c>
      <c r="L27" s="59">
        <v>22</v>
      </c>
      <c r="M27" s="64">
        <f>('Data &amp; PV'!$J$10/(1+7%)^L27)</f>
        <v>19.637045370605797</v>
      </c>
    </row>
    <row r="28" spans="1:13">
      <c r="A28" s="106">
        <v>60</v>
      </c>
      <c r="B28">
        <v>23</v>
      </c>
      <c r="C28" s="1">
        <f>('Data &amp; PV'!$G$10/(1+7%)^B28)</f>
        <v>382.04916440763964</v>
      </c>
      <c r="K28" s="65">
        <v>60</v>
      </c>
      <c r="L28" s="60">
        <v>23</v>
      </c>
      <c r="M28" s="64">
        <f>('Data &amp; PV'!$J$10/(1+7%)^L28)</f>
        <v>18.352378851033453</v>
      </c>
    </row>
    <row r="29" spans="1:13">
      <c r="A29" s="106">
        <v>61</v>
      </c>
      <c r="B29">
        <v>24</v>
      </c>
      <c r="C29" s="1">
        <f>('Data &amp; PV'!$G$10/(1+7%)^B29)</f>
        <v>357.05529383891553</v>
      </c>
      <c r="K29" s="63">
        <v>61</v>
      </c>
      <c r="L29" s="59">
        <v>24</v>
      </c>
      <c r="M29" s="64">
        <f>('Data &amp; PV'!$J$10/(1+7%)^L29)</f>
        <v>17.151755935545282</v>
      </c>
    </row>
    <row r="30" spans="1:13">
      <c r="A30" s="106">
        <v>62</v>
      </c>
      <c r="B30">
        <v>25</v>
      </c>
      <c r="C30" s="1">
        <f>('Data &amp; PV'!$G$10/(1+7%)^B30)</f>
        <v>333.69653629805185</v>
      </c>
      <c r="K30" s="65">
        <v>62</v>
      </c>
      <c r="L30" s="60">
        <v>25</v>
      </c>
      <c r="M30" s="64">
        <f>('Data &amp; PV'!$J$10/(1+7%)^L30)</f>
        <v>16.029678444434843</v>
      </c>
    </row>
    <row r="31" spans="1:13" s="3" customFormat="1">
      <c r="A31" s="106">
        <v>63</v>
      </c>
      <c r="B31">
        <v>26</v>
      </c>
      <c r="C31" s="1">
        <f>('Data &amp; PV'!$G$10/(1+7%)^B31)</f>
        <v>311.8659217738803</v>
      </c>
      <c r="K31" s="63">
        <v>63</v>
      </c>
      <c r="L31" s="59">
        <v>26</v>
      </c>
      <c r="M31" s="64">
        <f>('Data &amp; PV'!$J$10/(1+7%)^L31)</f>
        <v>14.981007891995182</v>
      </c>
    </row>
    <row r="32" spans="1:13">
      <c r="A32" s="106">
        <v>64</v>
      </c>
      <c r="B32">
        <v>27</v>
      </c>
      <c r="C32" s="1">
        <f>('Data &amp; PV'!$G$10/(1+7%)^B32)</f>
        <v>291.46347829334599</v>
      </c>
      <c r="K32" s="65">
        <v>64</v>
      </c>
      <c r="L32" s="60">
        <v>27</v>
      </c>
      <c r="M32" s="64">
        <f>('Data &amp; PV'!$J$10/(1+7%)^L32)</f>
        <v>14.000941955135682</v>
      </c>
    </row>
    <row r="33" spans="1:13">
      <c r="A33" s="106">
        <v>65</v>
      </c>
      <c r="B33">
        <v>28</v>
      </c>
      <c r="C33" s="1">
        <f>('Data &amp; PV'!$G$10/(1+7%)^B33)</f>
        <v>272.39577410593091</v>
      </c>
      <c r="K33" s="63">
        <v>65</v>
      </c>
      <c r="L33" s="59">
        <v>28</v>
      </c>
      <c r="M33" s="64">
        <f>('Data &amp; PV'!$J$10/(1+7%)^L33)</f>
        <v>13.084992481435219</v>
      </c>
    </row>
    <row r="34" spans="1:13">
      <c r="A34" s="106">
        <v>66</v>
      </c>
      <c r="B34">
        <v>29</v>
      </c>
      <c r="C34" s="1">
        <f>('Data &amp; PV'!$G$10/(1+7%)^B34)</f>
        <v>254.57548981862701</v>
      </c>
      <c r="K34" s="3" t="s">
        <v>119</v>
      </c>
      <c r="L34" s="3"/>
      <c r="M34" s="4">
        <f>SUM(M5:M33)</f>
        <v>1055.9286788366394</v>
      </c>
    </row>
    <row r="35" spans="1:13">
      <c r="A35" s="106">
        <v>67</v>
      </c>
      <c r="B35">
        <v>30</v>
      </c>
      <c r="C35" s="1">
        <f>('Data &amp; PV'!$G$10/(1+7%)^B35)</f>
        <v>237.92101852208131</v>
      </c>
    </row>
    <row r="36" spans="1:13">
      <c r="A36" s="106">
        <v>68</v>
      </c>
      <c r="B36">
        <v>31</v>
      </c>
      <c r="C36" s="1">
        <f>('Data &amp; PV'!$G$10/(1+7%)^B36)</f>
        <v>222.35609207671146</v>
      </c>
    </row>
    <row r="37" spans="1:13">
      <c r="A37" s="106">
        <v>69</v>
      </c>
      <c r="B37">
        <v>32</v>
      </c>
      <c r="C37" s="1">
        <f>('Data &amp; PV'!$G$10/(1+7%)^B37)</f>
        <v>207.80943184739391</v>
      </c>
    </row>
    <row r="38" spans="1:13">
      <c r="A38" s="106">
        <v>70</v>
      </c>
      <c r="B38">
        <v>33</v>
      </c>
      <c r="C38" s="1">
        <f>('Data &amp; PV'!$G$10/(1+7%)^B38)</f>
        <v>194.21442228728404</v>
      </c>
    </row>
    <row r="39" spans="1:13">
      <c r="A39" s="106">
        <v>71</v>
      </c>
      <c r="B39">
        <v>34</v>
      </c>
      <c r="C39" s="1">
        <f>('Data &amp; PV'!$G$10/(1+7%)^B39)</f>
        <v>181.5088058759664</v>
      </c>
    </row>
    <row r="40" spans="1:13">
      <c r="A40" s="106">
        <v>72</v>
      </c>
      <c r="B40">
        <v>35</v>
      </c>
      <c r="C40" s="1">
        <f>('Data &amp; PV'!$G$10/(1+7%)^B40)</f>
        <v>169.63439801492186</v>
      </c>
    </row>
    <row r="41" spans="1:13">
      <c r="A41" s="106">
        <v>73</v>
      </c>
      <c r="B41">
        <v>36</v>
      </c>
      <c r="C41" s="1">
        <f>('Data &amp; PV'!$G$10/(1+7%)^B41)</f>
        <v>158.53682057469331</v>
      </c>
    </row>
    <row r="42" spans="1:13">
      <c r="A42" s="106">
        <v>74</v>
      </c>
      <c r="B42">
        <v>37</v>
      </c>
      <c r="C42" s="1">
        <f>('Data &amp; PV'!$G$10/(1+7%)^B42)</f>
        <v>148.16525287354514</v>
      </c>
    </row>
    <row r="43" spans="1:13">
      <c r="A43" s="106">
        <v>75</v>
      </c>
      <c r="B43">
        <v>38</v>
      </c>
      <c r="C43" s="1">
        <f>('Data &amp; PV'!$G$10/(1+7%)^B43)</f>
        <v>138.47219894723847</v>
      </c>
    </row>
    <row r="44" spans="1:13">
      <c r="A44" s="106">
        <v>76</v>
      </c>
      <c r="B44">
        <v>39</v>
      </c>
      <c r="C44" s="1">
        <f>('Data &amp; PV'!$G$10/(1+7%)^B44)</f>
        <v>129.41327004414808</v>
      </c>
    </row>
    <row r="45" spans="1:13">
      <c r="A45" s="106">
        <v>77</v>
      </c>
      <c r="B45">
        <v>40</v>
      </c>
      <c r="C45" s="1">
        <f>('Data &amp; PV'!$G$10/(1+7%)^B45)</f>
        <v>120.94698134967112</v>
      </c>
    </row>
    <row r="46" spans="1:13">
      <c r="A46" s="106">
        <v>78</v>
      </c>
      <c r="B46">
        <v>41</v>
      </c>
      <c r="C46" s="1">
        <f>('Data &amp; PV'!$G$10/(1+7%)^B46)</f>
        <v>113.03456200903842</v>
      </c>
    </row>
    <row r="47" spans="1:13" s="3" customFormat="1">
      <c r="A47" s="177" t="s">
        <v>99</v>
      </c>
      <c r="B47" s="177"/>
      <c r="C47" s="4">
        <f>SUM(C5:C46)</f>
        <v>24258.2987284423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P26" sqref="P26"/>
    </sheetView>
  </sheetViews>
  <sheetFormatPr defaultColWidth="8.85546875" defaultRowHeight="15"/>
  <sheetData>
    <row r="1" spans="1:5">
      <c r="A1" s="327"/>
      <c r="B1" s="327"/>
      <c r="C1" s="327"/>
    </row>
    <row r="2" spans="1:5">
      <c r="A2" s="327"/>
      <c r="B2" s="327"/>
      <c r="C2" s="327"/>
    </row>
    <row r="3" spans="1:5">
      <c r="A3" s="327"/>
      <c r="B3" s="327"/>
      <c r="C3" s="327"/>
    </row>
    <row r="5" spans="1:5">
      <c r="A5" s="328" t="s">
        <v>155</v>
      </c>
      <c r="B5" s="328"/>
      <c r="C5" s="328"/>
      <c r="D5" s="328"/>
      <c r="E5" s="328"/>
    </row>
    <row r="6" spans="1:5">
      <c r="A6" s="328"/>
      <c r="B6" s="328"/>
      <c r="C6" s="328"/>
      <c r="D6" s="328"/>
      <c r="E6" s="328"/>
    </row>
    <row r="7" spans="1:5" ht="48" customHeight="1">
      <c r="A7" s="328"/>
      <c r="B7" s="328"/>
      <c r="C7" s="328"/>
      <c r="D7" s="328"/>
      <c r="E7" s="328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2021-03-14T21:00:01Z</dcterms:modified>
  <cp:category/>
  <cp:contentStatus/>
</cp:coreProperties>
</file>