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585" yWindow="-15" windowWidth="12630" windowHeight="12990" activeTab="1"/>
  </bookViews>
  <sheets>
    <sheet name="Input" sheetId="1" r:id="rId1"/>
    <sheet name="UHF" sheetId="2" r:id="rId2"/>
    <sheet name="S-Band" sheetId="3" r:id="rId3"/>
  </sheets>
  <definedNames>
    <definedName name="AIL">Input!$C$24</definedName>
    <definedName name="alt">Input!$C$5</definedName>
    <definedName name="c_">Input!$C$4</definedName>
    <definedName name="del">Input!$C$6</definedName>
    <definedName name="DIS">Input!$C$27</definedName>
    <definedName name="GSG">Input!$C$15</definedName>
    <definedName name="GSL">Input!$C$16</definedName>
    <definedName name="GSNT">Input!$C$23</definedName>
    <definedName name="GSPL">Input!$C$17</definedName>
    <definedName name="GSTP">Input!$C$14</definedName>
    <definedName name="k">Input!$C$3</definedName>
    <definedName name="loss">Input!$C$25</definedName>
    <definedName name="radEarth">Input!$C$2</definedName>
    <definedName name="SCG">Input!$C$19</definedName>
    <definedName name="SCL">Input!$C$20</definedName>
    <definedName name="SCPL">Input!$C$21</definedName>
    <definedName name="SCTP">Input!$C$18</definedName>
    <definedName name="sdf">Input!$C$11</definedName>
    <definedName name="sdl">Input!$C$12</definedName>
    <definedName name="SNT">Input!$C$22</definedName>
    <definedName name="SSNT">Input!$C$22</definedName>
    <definedName name="suf">Input!$C$10</definedName>
    <definedName name="udf">Input!$C$7</definedName>
    <definedName name="udl">Input!$C$9</definedName>
    <definedName name="UIS">Input!$C$26</definedName>
    <definedName name="ul">Input!$C$13</definedName>
    <definedName name="uuf">Input!$C$8</definedName>
  </definedNames>
  <calcPr calcId="145621" iterate="1" iterateCount="50" iterateDelta="1E-4"/>
  <fileRecoveryPr repairLoad="1"/>
</workbook>
</file>

<file path=xl/calcChain.xml><?xml version="1.0" encoding="utf-8"?>
<calcChain xmlns="http://schemas.openxmlformats.org/spreadsheetml/2006/main">
  <c r="C18" i="3" l="1"/>
  <c r="C18" i="2"/>
  <c r="C33" i="3" l="1"/>
  <c r="C24" i="3"/>
  <c r="C20" i="3"/>
  <c r="C16" i="3"/>
  <c r="C12" i="3"/>
  <c r="C19" i="3"/>
  <c r="C2" i="2"/>
  <c r="C2" i="3"/>
  <c r="C31" i="3"/>
  <c r="C28" i="3"/>
  <c r="C29" i="3" s="1"/>
  <c r="C27" i="3"/>
  <c r="C26" i="3"/>
  <c r="C25" i="3"/>
  <c r="C22" i="3"/>
  <c r="C21" i="3"/>
  <c r="C14" i="3"/>
  <c r="C10" i="3"/>
  <c r="C9" i="3"/>
  <c r="C8" i="3"/>
  <c r="C7" i="3"/>
  <c r="C5" i="3"/>
  <c r="C4" i="3"/>
  <c r="C3" i="3"/>
  <c r="C6" i="3" l="1"/>
  <c r="C13" i="3" s="1"/>
  <c r="C15" i="3" s="1"/>
  <c r="C17" i="3" s="1"/>
  <c r="C23" i="3"/>
  <c r="C30" i="3" s="1"/>
  <c r="C32" i="3" s="1"/>
  <c r="C34" i="3" s="1"/>
  <c r="C35" i="3" s="1"/>
  <c r="C31" i="2"/>
  <c r="C14" i="2"/>
  <c r="C33" i="2"/>
  <c r="C27" i="2"/>
  <c r="C26" i="2"/>
  <c r="C25" i="2"/>
  <c r="C24" i="2"/>
  <c r="C22" i="2"/>
  <c r="C10" i="2"/>
  <c r="C9" i="2"/>
  <c r="C8" i="2"/>
  <c r="C7" i="2"/>
  <c r="C5" i="2"/>
  <c r="C28" i="2"/>
  <c r="C29" i="2" s="1"/>
  <c r="C21" i="2"/>
  <c r="C20" i="2"/>
  <c r="C23" i="2" s="1"/>
  <c r="C30" i="2" l="1"/>
  <c r="C32" i="2" s="1"/>
  <c r="C34" i="2" s="1"/>
  <c r="C35" i="2" s="1"/>
  <c r="C9" i="1"/>
  <c r="C3" i="2"/>
  <c r="C4" i="2"/>
  <c r="C12" i="2"/>
  <c r="C16" i="2"/>
  <c r="C19" i="2"/>
  <c r="C6" i="2" l="1"/>
  <c r="C13" i="2" s="1"/>
  <c r="C15" i="2" s="1"/>
  <c r="C17" i="2" s="1"/>
</calcChain>
</file>

<file path=xl/sharedStrings.xml><?xml version="1.0" encoding="utf-8"?>
<sst xmlns="http://schemas.openxmlformats.org/spreadsheetml/2006/main" count="227" uniqueCount="99">
  <si>
    <t>Yes</t>
  </si>
  <si>
    <t>Radius of Earth</t>
  </si>
  <si>
    <t>radEarth</t>
  </si>
  <si>
    <t>m</t>
  </si>
  <si>
    <t>No</t>
  </si>
  <si>
    <t>Boltzmann Constant</t>
  </si>
  <si>
    <t>k</t>
  </si>
  <si>
    <t>dBW/K/Hz</t>
  </si>
  <si>
    <t>Speed of Light</t>
  </si>
  <si>
    <t>c</t>
  </si>
  <si>
    <t>m/s</t>
  </si>
  <si>
    <t>S/C Altitude</t>
  </si>
  <si>
    <t>alt</t>
  </si>
  <si>
    <t>Elevation Angle</t>
  </si>
  <si>
    <t>del</t>
  </si>
  <si>
    <t>°</t>
  </si>
  <si>
    <t>UHF Downlink Frequency</t>
  </si>
  <si>
    <t>udf</t>
  </si>
  <si>
    <t>MHz</t>
  </si>
  <si>
    <t>UHF Uplink Frequency</t>
  </si>
  <si>
    <t>uuf</t>
  </si>
  <si>
    <t>UHF Downlink Data Rate</t>
  </si>
  <si>
    <t>udl</t>
  </si>
  <si>
    <t>bps</t>
  </si>
  <si>
    <t>S-Band Uplink Frequency</t>
  </si>
  <si>
    <t>suf</t>
  </si>
  <si>
    <t>GHz</t>
  </si>
  <si>
    <t>S-Band Downlink Frequency</t>
  </si>
  <si>
    <t>sdf</t>
  </si>
  <si>
    <t>S-Band Downlink Data Rate</t>
  </si>
  <si>
    <t>sdl</t>
  </si>
  <si>
    <t>Uplink Data Rate</t>
  </si>
  <si>
    <t>ul</t>
  </si>
  <si>
    <t>GS Transmit Power</t>
  </si>
  <si>
    <t>GSTP</t>
  </si>
  <si>
    <t>W</t>
  </si>
  <si>
    <t>GS Antenna Gain</t>
  </si>
  <si>
    <t>GSG</t>
  </si>
  <si>
    <t>dBi</t>
  </si>
  <si>
    <t>Estimated GS Losses</t>
  </si>
  <si>
    <t>GSL</t>
  </si>
  <si>
    <t>dB</t>
  </si>
  <si>
    <t>S/C Transmit Power</t>
  </si>
  <si>
    <t>SCTP</t>
  </si>
  <si>
    <t xml:space="preserve">S/C Antenna </t>
  </si>
  <si>
    <t>SCG</t>
  </si>
  <si>
    <t>Estimated S/C Losses</t>
  </si>
  <si>
    <t>SCL</t>
  </si>
  <si>
    <t>K</t>
  </si>
  <si>
    <t>AIL</t>
  </si>
  <si>
    <t>loss</t>
  </si>
  <si>
    <t>Units</t>
  </si>
  <si>
    <t>Values</t>
  </si>
  <si>
    <t>Comments &amp; References</t>
  </si>
  <si>
    <t>Uplink Frequency</t>
  </si>
  <si>
    <t>UHF Uplink</t>
  </si>
  <si>
    <t>Station TX power</t>
  </si>
  <si>
    <t>Gain</t>
  </si>
  <si>
    <t>Ground Station Losses</t>
  </si>
  <si>
    <t>EIRP</t>
  </si>
  <si>
    <t>dBW</t>
  </si>
  <si>
    <t>Propagation Range</t>
  </si>
  <si>
    <t>km</t>
  </si>
  <si>
    <t>Path Loss</t>
  </si>
  <si>
    <t>Isotropic Signal @ S/C</t>
  </si>
  <si>
    <t>G/T</t>
  </si>
  <si>
    <t>dB-K</t>
  </si>
  <si>
    <r>
      <t>S/N</t>
    </r>
    <r>
      <rPr>
        <b/>
        <vertAlign val="subscript"/>
        <sz val="11"/>
        <color indexed="8"/>
        <rFont val="Calibri"/>
        <family val="2"/>
      </rPr>
      <t>0</t>
    </r>
  </si>
  <si>
    <t>dBHz</t>
  </si>
  <si>
    <t>Data Rate, B</t>
  </si>
  <si>
    <r>
      <t>E</t>
    </r>
    <r>
      <rPr>
        <b/>
        <vertAlign val="subscript"/>
        <sz val="11"/>
        <color indexed="8"/>
        <rFont val="Calibri"/>
        <family val="2"/>
      </rPr>
      <t>b</t>
    </r>
    <r>
      <rPr>
        <b/>
        <sz val="11"/>
        <color indexed="8"/>
        <rFont val="Calibri"/>
        <family val="2"/>
      </rPr>
      <t>/N</t>
    </r>
    <r>
      <rPr>
        <b/>
        <vertAlign val="subscript"/>
        <sz val="11"/>
        <color indexed="8"/>
        <rFont val="Calibri"/>
        <family val="2"/>
      </rPr>
      <t>0</t>
    </r>
  </si>
  <si>
    <t>Downlink Frequency</t>
  </si>
  <si>
    <t>UHF Downlink</t>
  </si>
  <si>
    <t>Bit Rate Error</t>
  </si>
  <si>
    <t>S/C TX power</t>
  </si>
  <si>
    <t>GSPL</t>
  </si>
  <si>
    <t>Estimated GS Pointing Loss</t>
  </si>
  <si>
    <t>Estimated S/C Pointing Loss</t>
  </si>
  <si>
    <t>SCPL</t>
  </si>
  <si>
    <t>Atmospheric Losses</t>
  </si>
  <si>
    <t>GS to/from S/C Polarization Loss</t>
  </si>
  <si>
    <t>Inputs</t>
  </si>
  <si>
    <t>Uplink Ionization Loss</t>
  </si>
  <si>
    <t>Downlink Ionization Loss</t>
  </si>
  <si>
    <t>UIS</t>
  </si>
  <si>
    <t>DIS</t>
  </si>
  <si>
    <t>Atmospheric Loss</t>
  </si>
  <si>
    <t>Ionospheric Loss</t>
  </si>
  <si>
    <t>Polarization Loss</t>
  </si>
  <si>
    <t>Pointing Loss</t>
  </si>
  <si>
    <t>Spacecraft Losses</t>
  </si>
  <si>
    <t>Isotropic Signal @ GS</t>
  </si>
  <si>
    <t>S/C System Noise Temperature</t>
  </si>
  <si>
    <t>SSNT</t>
  </si>
  <si>
    <t>GS System Noise Temperature</t>
  </si>
  <si>
    <t>GSNT</t>
  </si>
  <si>
    <t>Internal Loss on the transmission lines</t>
  </si>
  <si>
    <t>S-Band Downlink</t>
  </si>
  <si>
    <t>S-Band Uplink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</si>
</sst>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9" x14ac:knownFonts="1">
    <font>
      <sz val="10"/>
      <name val="Arial"/>
      <family val="2"/>
    </font>
    <font>
      <sz val="10"/>
      <color indexed="9"/>
      <name val="Mangal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vertAlign val="subscript"/>
      <sz val="11"/>
      <color indexed="8"/>
      <name val="Calibri"/>
      <family val="2"/>
    </font>
    <font>
      <sz val="10"/>
      <name val="Arial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16"/>
      </patternFill>
    </fill>
    <fill>
      <patternFill patternType="solid">
        <fgColor indexed="17"/>
        <bgColor indexed="5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/>
    <xf numFmtId="0" fontId="1" fillId="3" borderId="0"/>
    <xf numFmtId="2" fontId="2" fillId="2" borderId="0">
      <alignment horizontal="center" vertical="center"/>
    </xf>
    <xf numFmtId="2" fontId="2" fillId="3" borderId="0">
      <alignment horizontal="center" vertical="center"/>
    </xf>
    <xf numFmtId="0" fontId="3" fillId="0" borderId="0"/>
    <xf numFmtId="0" fontId="7" fillId="0" borderId="0"/>
  </cellStyleXfs>
  <cellXfs count="64">
    <xf numFmtId="0" fontId="0" fillId="0" borderId="0" xfId="0"/>
    <xf numFmtId="0" fontId="3" fillId="0" borderId="0" xfId="5"/>
    <xf numFmtId="0" fontId="4" fillId="0" borderId="0" xfId="5" applyFont="1"/>
    <xf numFmtId="0" fontId="3" fillId="0" borderId="0" xfId="5" applyAlignment="1">
      <alignment horizontal="center"/>
    </xf>
    <xf numFmtId="0" fontId="3" fillId="0" borderId="0" xfId="5" applyBorder="1"/>
    <xf numFmtId="0" fontId="3" fillId="0" borderId="1" xfId="5" applyFont="1" applyBorder="1" applyAlignment="1">
      <alignment horizontal="left"/>
    </xf>
    <xf numFmtId="0" fontId="3" fillId="0" borderId="1" xfId="5" applyNumberFormat="1" applyFont="1" applyBorder="1" applyAlignment="1">
      <alignment horizontal="center"/>
    </xf>
    <xf numFmtId="0" fontId="3" fillId="0" borderId="1" xfId="5" applyFont="1" applyBorder="1"/>
    <xf numFmtId="0" fontId="3" fillId="0" borderId="1" xfId="5" applyFont="1" applyBorder="1" applyAlignment="1">
      <alignment horizontal="center"/>
    </xf>
    <xf numFmtId="0" fontId="0" fillId="0" borderId="1" xfId="6" applyFont="1" applyBorder="1" applyAlignment="1">
      <alignment horizontal="center"/>
    </xf>
    <xf numFmtId="0" fontId="3" fillId="0" borderId="1" xfId="5" applyFont="1" applyFill="1" applyBorder="1"/>
    <xf numFmtId="0" fontId="3" fillId="0" borderId="1" xfId="5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1" xfId="5" applyBorder="1"/>
    <xf numFmtId="0" fontId="3" fillId="0" borderId="3" xfId="5" applyFont="1" applyBorder="1"/>
    <xf numFmtId="0" fontId="0" fillId="0" borderId="3" xfId="6" applyFont="1" applyBorder="1"/>
    <xf numFmtId="0" fontId="3" fillId="0" borderId="3" xfId="5" applyFont="1" applyFill="1" applyBorder="1"/>
    <xf numFmtId="0" fontId="0" fillId="0" borderId="3" xfId="0" applyFont="1" applyBorder="1"/>
    <xf numFmtId="0" fontId="3" fillId="0" borderId="3" xfId="5" applyBorder="1"/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" xfId="5" applyFont="1" applyBorder="1"/>
    <xf numFmtId="0" fontId="3" fillId="0" borderId="1" xfId="5" applyBorder="1" applyAlignment="1">
      <alignment horizontal="center"/>
    </xf>
    <xf numFmtId="0" fontId="5" fillId="0" borderId="1" xfId="5" applyFont="1" applyBorder="1" applyAlignment="1">
      <alignment horizontal="left"/>
    </xf>
    <xf numFmtId="0" fontId="3" fillId="0" borderId="1" xfId="5" applyFont="1" applyBorder="1" applyAlignment="1">
      <alignment horizontal="right"/>
    </xf>
    <xf numFmtId="1" fontId="3" fillId="0" borderId="1" xfId="5" applyNumberFormat="1" applyBorder="1" applyAlignment="1">
      <alignment horizontal="center"/>
    </xf>
    <xf numFmtId="0" fontId="5" fillId="0" borderId="1" xfId="5" applyFont="1" applyFill="1" applyBorder="1" applyAlignment="1">
      <alignment horizontal="left"/>
    </xf>
    <xf numFmtId="2" fontId="3" fillId="0" borderId="1" xfId="5" applyNumberFormat="1" applyBorder="1" applyAlignment="1">
      <alignment horizontal="center"/>
    </xf>
    <xf numFmtId="164" fontId="3" fillId="0" borderId="1" xfId="5" applyNumberFormat="1" applyBorder="1" applyAlignment="1">
      <alignment horizontal="center"/>
    </xf>
    <xf numFmtId="0" fontId="3" fillId="0" borderId="4" xfId="5" applyFont="1" applyBorder="1"/>
    <xf numFmtId="0" fontId="3" fillId="0" borderId="5" xfId="5" applyFont="1" applyBorder="1" applyAlignment="1">
      <alignment horizontal="right"/>
    </xf>
    <xf numFmtId="0" fontId="3" fillId="0" borderId="6" xfId="5" applyFont="1" applyBorder="1"/>
    <xf numFmtId="0" fontId="3" fillId="0" borderId="7" xfId="5" applyBorder="1"/>
    <xf numFmtId="0" fontId="3" fillId="0" borderId="6" xfId="5" applyBorder="1"/>
    <xf numFmtId="0" fontId="3" fillId="0" borderId="7" xfId="5" applyBorder="1" applyAlignment="1">
      <alignment horizontal="right"/>
    </xf>
    <xf numFmtId="0" fontId="3" fillId="0" borderId="8" xfId="5" applyBorder="1"/>
    <xf numFmtId="0" fontId="3" fillId="0" borderId="9" xfId="5" applyBorder="1"/>
    <xf numFmtId="0" fontId="3" fillId="0" borderId="7" xfId="5" applyFont="1" applyBorder="1" applyAlignment="1">
      <alignment horizontal="right"/>
    </xf>
    <xf numFmtId="0" fontId="3" fillId="0" borderId="2" xfId="5" applyFont="1" applyBorder="1" applyAlignment="1">
      <alignment horizontal="center"/>
    </xf>
    <xf numFmtId="2" fontId="2" fillId="2" borderId="10" xfId="3" applyBorder="1" applyAlignment="1">
      <alignment horizontal="center" vertical="center"/>
    </xf>
    <xf numFmtId="2" fontId="3" fillId="0" borderId="12" xfId="5" applyNumberFormat="1" applyBorder="1" applyAlignment="1">
      <alignment horizontal="center"/>
    </xf>
    <xf numFmtId="0" fontId="3" fillId="0" borderId="5" xfId="5" applyBorder="1"/>
    <xf numFmtId="0" fontId="8" fillId="0" borderId="1" xfId="6" applyFont="1" applyBorder="1"/>
    <xf numFmtId="0" fontId="8" fillId="0" borderId="1" xfId="0" applyFont="1" applyBorder="1"/>
    <xf numFmtId="0" fontId="3" fillId="0" borderId="9" xfId="5" applyBorder="1" applyAlignment="1">
      <alignment horizontal="right"/>
    </xf>
    <xf numFmtId="0" fontId="3" fillId="0" borderId="2" xfId="5" applyBorder="1" applyAlignment="1" applyProtection="1">
      <alignment horizontal="right"/>
    </xf>
    <xf numFmtId="0" fontId="3" fillId="0" borderId="2" xfId="5" applyBorder="1" applyAlignment="1" applyProtection="1">
      <alignment horizontal="right"/>
      <protection locked="0"/>
    </xf>
    <xf numFmtId="0" fontId="7" fillId="0" borderId="2" xfId="6" applyBorder="1" applyProtection="1">
      <protection locked="0"/>
    </xf>
    <xf numFmtId="0" fontId="3" fillId="0" borderId="2" xfId="5" applyFill="1" applyBorder="1" applyAlignment="1" applyProtection="1">
      <alignment horizontal="right"/>
      <protection locked="0"/>
    </xf>
    <xf numFmtId="0" fontId="0" fillId="0" borderId="2" xfId="0" applyBorder="1" applyProtection="1">
      <protection locked="0"/>
    </xf>
    <xf numFmtId="0" fontId="3" fillId="0" borderId="2" xfId="5" applyBorder="1" applyProtection="1">
      <protection locked="0"/>
    </xf>
    <xf numFmtId="0" fontId="3" fillId="0" borderId="13" xfId="5" applyFill="1" applyBorder="1" applyAlignment="1" applyProtection="1">
      <alignment horizontal="right"/>
      <protection locked="0"/>
    </xf>
    <xf numFmtId="0" fontId="3" fillId="0" borderId="13" xfId="5" applyBorder="1" applyProtection="1">
      <protection locked="0"/>
    </xf>
    <xf numFmtId="0" fontId="3" fillId="0" borderId="8" xfId="5" applyBorder="1" applyProtection="1">
      <protection locked="0"/>
    </xf>
    <xf numFmtId="165" fontId="3" fillId="0" borderId="1" xfId="5" applyNumberFormat="1" applyBorder="1" applyAlignment="1">
      <alignment horizontal="center"/>
    </xf>
    <xf numFmtId="2" fontId="3" fillId="0" borderId="11" xfId="5" applyNumberFormat="1" applyBorder="1" applyAlignment="1">
      <alignment horizontal="center"/>
    </xf>
    <xf numFmtId="0" fontId="3" fillId="0" borderId="6" xfId="5" applyBorder="1" applyAlignment="1">
      <alignment wrapText="1"/>
    </xf>
    <xf numFmtId="0" fontId="3" fillId="0" borderId="1" xfId="5" applyFont="1" applyBorder="1" applyAlignment="1">
      <alignment horizontal="right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Border="1" applyAlignment="1">
      <alignment horizontal="center" vertical="center"/>
    </xf>
    <xf numFmtId="0" fontId="3" fillId="0" borderId="1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14" xfId="5" applyFont="1" applyBorder="1" applyAlignment="1">
      <alignment horizontal="center"/>
    </xf>
    <xf numFmtId="0" fontId="5" fillId="0" borderId="15" xfId="5" applyFont="1" applyBorder="1" applyAlignment="1">
      <alignment horizontal="center"/>
    </xf>
  </cellXfs>
  <cellStyles count="7">
    <cellStyle name="Excel Built-in Normal" xfId="6"/>
    <cellStyle name="Excel Built-in Normal 1" xfId="5"/>
    <cellStyle name="Normal" xfId="0" builtinId="0"/>
    <cellStyle name="Uh Oh" xfId="3"/>
    <cellStyle name="UP=Down? No" xfId="1"/>
    <cellStyle name="UP=Down? Yes" xfId="2"/>
    <cellStyle name="Yay" xfId="4"/>
  </cellStyles>
  <dxfs count="8"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57"/>
          <bgColor indexed="17"/>
        </patternFill>
      </fill>
      <border>
        <left/>
        <right/>
        <top/>
        <bottom/>
      </border>
    </dxf>
    <dxf>
      <font>
        <b/>
        <i val="0"/>
        <strike val="0"/>
        <condense val="0"/>
        <extend val="0"/>
        <u val="none"/>
        <sz val="11"/>
        <color indexed="9"/>
      </font>
      <fill>
        <patternFill patternType="solid">
          <fgColor indexed="16"/>
          <bgColor indexed="10"/>
        </patternFill>
      </fill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Normal="100" workbookViewId="0">
      <selection activeCell="C7" sqref="C7"/>
    </sheetView>
  </sheetViews>
  <sheetFormatPr defaultColWidth="8.7109375" defaultRowHeight="15" x14ac:dyDescent="0.25"/>
  <cols>
    <col min="1" max="1" width="30" style="1" bestFit="1" customWidth="1"/>
    <col min="2" max="2" width="8.42578125" style="1" customWidth="1"/>
    <col min="3" max="3" width="12" style="1" customWidth="1"/>
    <col min="4" max="4" width="10.7109375" style="1" customWidth="1"/>
    <col min="5" max="16384" width="8.7109375" style="1"/>
  </cols>
  <sheetData>
    <row r="1" spans="1:7" x14ac:dyDescent="0.25">
      <c r="A1" s="60" t="s">
        <v>81</v>
      </c>
      <c r="B1" s="60"/>
      <c r="C1" s="60"/>
      <c r="D1" s="60"/>
      <c r="G1" s="2" t="s">
        <v>0</v>
      </c>
    </row>
    <row r="2" spans="1:7" x14ac:dyDescent="0.25">
      <c r="A2" s="5" t="s">
        <v>1</v>
      </c>
      <c r="B2" s="6" t="s">
        <v>2</v>
      </c>
      <c r="C2" s="45">
        <v>6378135</v>
      </c>
      <c r="D2" s="14" t="s">
        <v>3</v>
      </c>
      <c r="G2" s="2" t="s">
        <v>4</v>
      </c>
    </row>
    <row r="3" spans="1:7" x14ac:dyDescent="0.25">
      <c r="A3" s="7" t="s">
        <v>5</v>
      </c>
      <c r="B3" s="8" t="s">
        <v>6</v>
      </c>
      <c r="C3" s="45">
        <v>-228.6</v>
      </c>
      <c r="D3" s="14" t="s">
        <v>7</v>
      </c>
    </row>
    <row r="4" spans="1:7" x14ac:dyDescent="0.25">
      <c r="A4" s="7" t="s">
        <v>8</v>
      </c>
      <c r="B4" s="8" t="s">
        <v>9</v>
      </c>
      <c r="C4" s="45">
        <v>299792400</v>
      </c>
      <c r="D4" s="14" t="s">
        <v>10</v>
      </c>
    </row>
    <row r="5" spans="1:7" x14ac:dyDescent="0.25">
      <c r="A5" s="7" t="s">
        <v>11</v>
      </c>
      <c r="B5" s="8" t="s">
        <v>12</v>
      </c>
      <c r="C5" s="46">
        <v>300000</v>
      </c>
      <c r="D5" s="14" t="s">
        <v>3</v>
      </c>
    </row>
    <row r="6" spans="1:7" x14ac:dyDescent="0.25">
      <c r="A6" s="42" t="s">
        <v>13</v>
      </c>
      <c r="B6" s="9" t="s">
        <v>14</v>
      </c>
      <c r="C6" s="47">
        <v>38</v>
      </c>
      <c r="D6" s="15" t="s">
        <v>15</v>
      </c>
    </row>
    <row r="7" spans="1:7" x14ac:dyDescent="0.25">
      <c r="A7" s="42" t="s">
        <v>16</v>
      </c>
      <c r="B7" s="9" t="s">
        <v>17</v>
      </c>
      <c r="C7" s="47">
        <v>440</v>
      </c>
      <c r="D7" s="15" t="s">
        <v>18</v>
      </c>
    </row>
    <row r="8" spans="1:7" x14ac:dyDescent="0.25">
      <c r="A8" s="42" t="s">
        <v>19</v>
      </c>
      <c r="B8" s="9" t="s">
        <v>20</v>
      </c>
      <c r="C8" s="47">
        <v>440</v>
      </c>
      <c r="D8" s="15" t="s">
        <v>18</v>
      </c>
    </row>
    <row r="9" spans="1:7" x14ac:dyDescent="0.25">
      <c r="A9" s="7" t="s">
        <v>21</v>
      </c>
      <c r="B9" s="8" t="s">
        <v>22</v>
      </c>
      <c r="C9" s="46">
        <f>100*1000</f>
        <v>100000</v>
      </c>
      <c r="D9" s="14" t="s">
        <v>23</v>
      </c>
    </row>
    <row r="10" spans="1:7" x14ac:dyDescent="0.25">
      <c r="A10" s="42" t="s">
        <v>24</v>
      </c>
      <c r="B10" s="9" t="s">
        <v>25</v>
      </c>
      <c r="C10" s="47">
        <v>2.4</v>
      </c>
      <c r="D10" s="15" t="s">
        <v>26</v>
      </c>
    </row>
    <row r="11" spans="1:7" x14ac:dyDescent="0.25">
      <c r="A11" s="42" t="s">
        <v>27</v>
      </c>
      <c r="B11" s="9" t="s">
        <v>28</v>
      </c>
      <c r="C11" s="47">
        <v>2.4</v>
      </c>
      <c r="D11" s="15" t="s">
        <v>26</v>
      </c>
    </row>
    <row r="12" spans="1:7" x14ac:dyDescent="0.25">
      <c r="A12" s="7" t="s">
        <v>29</v>
      </c>
      <c r="B12" s="8" t="s">
        <v>30</v>
      </c>
      <c r="C12" s="46">
        <v>1000000</v>
      </c>
      <c r="D12" s="14" t="s">
        <v>23</v>
      </c>
    </row>
    <row r="13" spans="1:7" x14ac:dyDescent="0.25">
      <c r="A13" s="7" t="s">
        <v>31</v>
      </c>
      <c r="B13" s="8" t="s">
        <v>32</v>
      </c>
      <c r="C13" s="46">
        <v>4000</v>
      </c>
      <c r="D13" s="14" t="s">
        <v>23</v>
      </c>
    </row>
    <row r="14" spans="1:7" x14ac:dyDescent="0.25">
      <c r="A14" s="10" t="s">
        <v>33</v>
      </c>
      <c r="B14" s="11" t="s">
        <v>34</v>
      </c>
      <c r="C14" s="48">
        <v>100</v>
      </c>
      <c r="D14" s="16" t="s">
        <v>35</v>
      </c>
    </row>
    <row r="15" spans="1:7" x14ac:dyDescent="0.25">
      <c r="A15" s="42" t="s">
        <v>36</v>
      </c>
      <c r="B15" s="9" t="s">
        <v>37</v>
      </c>
      <c r="C15" s="47">
        <v>15</v>
      </c>
      <c r="D15" s="15" t="s">
        <v>38</v>
      </c>
    </row>
    <row r="16" spans="1:7" x14ac:dyDescent="0.25">
      <c r="A16" s="43" t="s">
        <v>39</v>
      </c>
      <c r="B16" s="12" t="s">
        <v>40</v>
      </c>
      <c r="C16" s="49">
        <v>2</v>
      </c>
      <c r="D16" s="17" t="s">
        <v>41</v>
      </c>
    </row>
    <row r="17" spans="1:4" x14ac:dyDescent="0.25">
      <c r="A17" s="7" t="s">
        <v>76</v>
      </c>
      <c r="B17" s="22" t="s">
        <v>75</v>
      </c>
      <c r="C17" s="50">
        <v>0.2</v>
      </c>
      <c r="D17" s="18" t="s">
        <v>41</v>
      </c>
    </row>
    <row r="18" spans="1:4" x14ac:dyDescent="0.25">
      <c r="A18" s="10" t="s">
        <v>42</v>
      </c>
      <c r="B18" s="11" t="s">
        <v>43</v>
      </c>
      <c r="C18" s="51">
        <v>5</v>
      </c>
      <c r="D18" s="16" t="s">
        <v>35</v>
      </c>
    </row>
    <row r="19" spans="1:4" x14ac:dyDescent="0.25">
      <c r="A19" s="7" t="s">
        <v>44</v>
      </c>
      <c r="B19" s="19" t="s">
        <v>45</v>
      </c>
      <c r="C19" s="52">
        <v>5</v>
      </c>
      <c r="D19" s="14" t="s">
        <v>38</v>
      </c>
    </row>
    <row r="20" spans="1:4" x14ac:dyDescent="0.25">
      <c r="A20" s="7" t="s">
        <v>46</v>
      </c>
      <c r="B20" s="19" t="s">
        <v>47</v>
      </c>
      <c r="C20" s="52">
        <v>2</v>
      </c>
      <c r="D20" s="14" t="s">
        <v>41</v>
      </c>
    </row>
    <row r="21" spans="1:4" x14ac:dyDescent="0.25">
      <c r="A21" s="7" t="s">
        <v>77</v>
      </c>
      <c r="B21" s="22" t="s">
        <v>78</v>
      </c>
      <c r="C21" s="50">
        <v>0.6</v>
      </c>
      <c r="D21" s="18" t="s">
        <v>41</v>
      </c>
    </row>
    <row r="22" spans="1:4" x14ac:dyDescent="0.25">
      <c r="A22" s="7" t="s">
        <v>92</v>
      </c>
      <c r="B22" s="19" t="s">
        <v>93</v>
      </c>
      <c r="C22" s="52">
        <v>261</v>
      </c>
      <c r="D22" s="18" t="s">
        <v>48</v>
      </c>
    </row>
    <row r="23" spans="1:4" x14ac:dyDescent="0.25">
      <c r="A23" s="7" t="s">
        <v>94</v>
      </c>
      <c r="B23" s="19" t="s">
        <v>95</v>
      </c>
      <c r="C23" s="52">
        <v>510</v>
      </c>
      <c r="D23" s="18" t="s">
        <v>48</v>
      </c>
    </row>
    <row r="24" spans="1:4" x14ac:dyDescent="0.25">
      <c r="A24" s="7" t="s">
        <v>79</v>
      </c>
      <c r="B24" s="19" t="s">
        <v>49</v>
      </c>
      <c r="C24" s="52">
        <v>4.5999999999999996</v>
      </c>
      <c r="D24" s="18" t="s">
        <v>41</v>
      </c>
    </row>
    <row r="25" spans="1:4" x14ac:dyDescent="0.25">
      <c r="A25" s="7" t="s">
        <v>80</v>
      </c>
      <c r="B25" s="19" t="s">
        <v>50</v>
      </c>
      <c r="C25" s="50">
        <v>0.2</v>
      </c>
      <c r="D25" s="18" t="s">
        <v>41</v>
      </c>
    </row>
    <row r="26" spans="1:4" x14ac:dyDescent="0.25">
      <c r="A26" s="7" t="s">
        <v>82</v>
      </c>
      <c r="B26" s="22" t="s">
        <v>84</v>
      </c>
      <c r="C26" s="50">
        <v>0.4</v>
      </c>
      <c r="D26" s="18" t="s">
        <v>41</v>
      </c>
    </row>
    <row r="27" spans="1:4" x14ac:dyDescent="0.25">
      <c r="A27" s="7" t="s">
        <v>83</v>
      </c>
      <c r="B27" s="22" t="s">
        <v>85</v>
      </c>
      <c r="C27" s="53">
        <v>0.6</v>
      </c>
      <c r="D27" s="36" t="s">
        <v>41</v>
      </c>
    </row>
  </sheetData>
  <sheetProtection selectLockedCells="1" selectUnlockedCells="1"/>
  <mergeCells count="1">
    <mergeCell ref="A1:D1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zoomScaleNormal="100" workbookViewId="0">
      <selection activeCell="E2" sqref="E2"/>
    </sheetView>
  </sheetViews>
  <sheetFormatPr defaultColWidth="8.7109375" defaultRowHeight="15" x14ac:dyDescent="0.25"/>
  <cols>
    <col min="1" max="1" width="23" style="1" customWidth="1"/>
    <col min="2" max="2" width="5.5703125" style="3" customWidth="1"/>
    <col min="3" max="3" width="9.7109375" style="1" customWidth="1"/>
    <col min="4" max="4" width="19.28515625" style="1" customWidth="1"/>
    <col min="5" max="5" width="12.85546875" style="1" customWidth="1"/>
    <col min="6" max="16384" width="8.7109375" style="1"/>
  </cols>
  <sheetData>
    <row r="1" spans="1:6" x14ac:dyDescent="0.25">
      <c r="A1" s="13"/>
      <c r="B1" s="20" t="s">
        <v>51</v>
      </c>
      <c r="C1" s="20" t="s">
        <v>52</v>
      </c>
      <c r="D1" s="61" t="s">
        <v>53</v>
      </c>
      <c r="E1" s="61"/>
      <c r="F1" s="4"/>
    </row>
    <row r="2" spans="1:6" x14ac:dyDescent="0.25">
      <c r="A2" s="21" t="s">
        <v>54</v>
      </c>
      <c r="B2" s="19" t="s">
        <v>18</v>
      </c>
      <c r="C2" s="22">
        <f>uuf</f>
        <v>440</v>
      </c>
      <c r="D2" s="29" t="s">
        <v>55</v>
      </c>
      <c r="E2" s="30"/>
      <c r="F2" s="4"/>
    </row>
    <row r="3" spans="1:6" x14ac:dyDescent="0.25">
      <c r="A3" s="23" t="s">
        <v>56</v>
      </c>
      <c r="B3" s="19" t="s">
        <v>41</v>
      </c>
      <c r="C3" s="22">
        <f>10*LOG(GSTP)</f>
        <v>20</v>
      </c>
      <c r="D3" s="31"/>
      <c r="E3" s="32"/>
      <c r="F3" s="4"/>
    </row>
    <row r="4" spans="1:6" ht="14.25" customHeight="1" x14ac:dyDescent="0.25">
      <c r="A4" s="24" t="s">
        <v>57</v>
      </c>
      <c r="B4" s="19" t="s">
        <v>38</v>
      </c>
      <c r="C4" s="22">
        <f>GSG</f>
        <v>15</v>
      </c>
      <c r="D4" s="33"/>
      <c r="E4" s="34"/>
      <c r="F4" s="4"/>
    </row>
    <row r="5" spans="1:6" ht="30.75" customHeight="1" x14ac:dyDescent="0.25">
      <c r="A5" s="57" t="s">
        <v>58</v>
      </c>
      <c r="B5" s="58" t="s">
        <v>41</v>
      </c>
      <c r="C5" s="59">
        <f>GSL</f>
        <v>2</v>
      </c>
      <c r="D5" s="56" t="s">
        <v>96</v>
      </c>
      <c r="E5" s="32"/>
      <c r="F5" s="4"/>
    </row>
    <row r="6" spans="1:6" x14ac:dyDescent="0.25">
      <c r="A6" s="23" t="s">
        <v>59</v>
      </c>
      <c r="B6" s="19" t="s">
        <v>60</v>
      </c>
      <c r="C6" s="22">
        <f>C3+C4-C5</f>
        <v>33</v>
      </c>
      <c r="D6" s="31"/>
      <c r="E6" s="32"/>
      <c r="F6" s="4"/>
    </row>
    <row r="7" spans="1:6" x14ac:dyDescent="0.25">
      <c r="A7" s="24" t="s">
        <v>89</v>
      </c>
      <c r="B7" s="19" t="s">
        <v>41</v>
      </c>
      <c r="C7" s="22">
        <f>GSPL</f>
        <v>0.2</v>
      </c>
      <c r="D7" s="33"/>
      <c r="E7" s="32"/>
      <c r="F7" s="4"/>
    </row>
    <row r="8" spans="1:6" x14ac:dyDescent="0.25">
      <c r="A8" s="24" t="s">
        <v>88</v>
      </c>
      <c r="B8" s="19" t="s">
        <v>41</v>
      </c>
      <c r="C8" s="22">
        <f>loss</f>
        <v>0.2</v>
      </c>
      <c r="D8" s="33"/>
      <c r="E8" s="32"/>
      <c r="F8" s="4"/>
    </row>
    <row r="9" spans="1:6" x14ac:dyDescent="0.25">
      <c r="A9" s="24" t="s">
        <v>86</v>
      </c>
      <c r="B9" s="19" t="s">
        <v>41</v>
      </c>
      <c r="C9" s="22">
        <f>AIL</f>
        <v>4.5999999999999996</v>
      </c>
      <c r="D9" s="33"/>
      <c r="E9" s="32"/>
      <c r="F9" s="4"/>
    </row>
    <row r="10" spans="1:6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6" x14ac:dyDescent="0.25">
      <c r="A11" s="24" t="s">
        <v>61</v>
      </c>
      <c r="B11" s="19" t="s">
        <v>62</v>
      </c>
      <c r="C11" s="25">
        <v>1979</v>
      </c>
      <c r="D11" s="33"/>
      <c r="E11" s="32"/>
      <c r="F11" s="4"/>
    </row>
    <row r="12" spans="1:6" x14ac:dyDescent="0.25">
      <c r="A12" s="26" t="s">
        <v>63</v>
      </c>
      <c r="B12" s="19" t="s">
        <v>41</v>
      </c>
      <c r="C12" s="27">
        <f>22+20*LOG10((C11*1000)/(c_/(uuf*10^6)))</f>
        <v>151.26155703572783</v>
      </c>
      <c r="D12" s="33"/>
      <c r="E12" s="32"/>
      <c r="F12" s="4"/>
    </row>
    <row r="13" spans="1:6" x14ac:dyDescent="0.25">
      <c r="A13" s="26" t="s">
        <v>64</v>
      </c>
      <c r="B13" s="19" t="s">
        <v>60</v>
      </c>
      <c r="C13" s="27">
        <f>C6-SUM(C7:C10,C12)</f>
        <v>-123.66155703572784</v>
      </c>
      <c r="D13" s="33"/>
      <c r="E13" s="32"/>
      <c r="F13" s="4"/>
    </row>
    <row r="14" spans="1:6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</row>
    <row r="15" spans="1:6" ht="18" x14ac:dyDescent="0.35">
      <c r="A15" s="21" t="s">
        <v>67</v>
      </c>
      <c r="B15" s="22" t="s">
        <v>68</v>
      </c>
      <c r="C15" s="27">
        <f>C13-C7-k+C14</f>
        <v>83.572037890889348</v>
      </c>
      <c r="D15" s="33"/>
      <c r="E15" s="32"/>
      <c r="F15" s="4"/>
    </row>
    <row r="16" spans="1:6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  <c r="F16" s="4"/>
    </row>
    <row r="17" spans="1:10" ht="18.75" thickBot="1" x14ac:dyDescent="0.4">
      <c r="A17" s="23" t="s">
        <v>70</v>
      </c>
      <c r="B17" s="38" t="s">
        <v>41</v>
      </c>
      <c r="C17" s="39">
        <f>C15-C16</f>
        <v>47.551437977609723</v>
      </c>
      <c r="D17" s="4"/>
      <c r="E17" s="32"/>
      <c r="F17" s="4"/>
    </row>
    <row r="18" spans="1:10" x14ac:dyDescent="0.25">
      <c r="A18" s="13" t="s">
        <v>73</v>
      </c>
      <c r="B18" s="22"/>
      <c r="C18" s="55">
        <f>0.5*ERFC(2*(C17/SQRT(2)))</f>
        <v>0</v>
      </c>
      <c r="E18" s="36"/>
      <c r="F18" s="33"/>
    </row>
    <row r="19" spans="1:10" x14ac:dyDescent="0.25">
      <c r="A19" s="21" t="s">
        <v>71</v>
      </c>
      <c r="B19" s="19" t="s">
        <v>18</v>
      </c>
      <c r="C19" s="22">
        <f>udf</f>
        <v>440</v>
      </c>
      <c r="D19" s="29" t="s">
        <v>72</v>
      </c>
      <c r="E19" s="30"/>
      <c r="F19" s="4"/>
    </row>
    <row r="20" spans="1:10" x14ac:dyDescent="0.25">
      <c r="A20" s="23" t="s">
        <v>74</v>
      </c>
      <c r="B20" s="19" t="s">
        <v>41</v>
      </c>
      <c r="C20" s="28">
        <f>LOG(SCTP)</f>
        <v>0.69897000433601886</v>
      </c>
      <c r="D20" s="33"/>
      <c r="E20" s="37"/>
      <c r="F20" s="4"/>
      <c r="J20" s="4"/>
    </row>
    <row r="21" spans="1:10" x14ac:dyDescent="0.25">
      <c r="A21" s="24" t="s">
        <v>57</v>
      </c>
      <c r="B21" s="19" t="s">
        <v>38</v>
      </c>
      <c r="C21" s="22">
        <f>SCG</f>
        <v>5</v>
      </c>
      <c r="D21" s="33"/>
      <c r="E21" s="37"/>
      <c r="F21" s="4"/>
    </row>
    <row r="22" spans="1:10" ht="30" x14ac:dyDescent="0.25">
      <c r="A22" s="57" t="s">
        <v>90</v>
      </c>
      <c r="B22" s="58" t="s">
        <v>41</v>
      </c>
      <c r="C22" s="59">
        <f>SCL</f>
        <v>2</v>
      </c>
      <c r="D22" s="56" t="s">
        <v>96</v>
      </c>
      <c r="E22" s="32"/>
      <c r="F22" s="4"/>
    </row>
    <row r="23" spans="1:10" x14ac:dyDescent="0.25">
      <c r="A23" s="23" t="s">
        <v>59</v>
      </c>
      <c r="B23" s="19" t="s">
        <v>60</v>
      </c>
      <c r="C23" s="27">
        <f>C20+C21-C22</f>
        <v>3.6989700043360187</v>
      </c>
      <c r="D23" s="33"/>
      <c r="E23" s="32"/>
      <c r="F23" s="4"/>
    </row>
    <row r="24" spans="1:10" x14ac:dyDescent="0.25">
      <c r="A24" s="24" t="s">
        <v>89</v>
      </c>
      <c r="B24" s="19" t="s">
        <v>41</v>
      </c>
      <c r="C24" s="27">
        <f>SCPL</f>
        <v>0.6</v>
      </c>
      <c r="D24" s="33"/>
      <c r="E24" s="32"/>
      <c r="F24" s="4"/>
    </row>
    <row r="25" spans="1:10" x14ac:dyDescent="0.25">
      <c r="A25" s="24" t="s">
        <v>88</v>
      </c>
      <c r="B25" s="19" t="s">
        <v>41</v>
      </c>
      <c r="C25" s="3">
        <f>loss</f>
        <v>0.2</v>
      </c>
      <c r="D25" s="31"/>
      <c r="E25" s="32"/>
      <c r="F25" s="4"/>
    </row>
    <row r="26" spans="1:10" x14ac:dyDescent="0.25">
      <c r="A26" s="24" t="s">
        <v>86</v>
      </c>
      <c r="B26" s="19" t="s">
        <v>41</v>
      </c>
      <c r="C26" s="54">
        <f>AIL</f>
        <v>4.5999999999999996</v>
      </c>
      <c r="D26" s="33"/>
      <c r="E26" s="32"/>
      <c r="F26" s="4"/>
    </row>
    <row r="27" spans="1:10" x14ac:dyDescent="0.25">
      <c r="A27" s="24" t="s">
        <v>87</v>
      </c>
      <c r="B27" s="19" t="s">
        <v>41</v>
      </c>
      <c r="C27" s="27">
        <f>DIS</f>
        <v>0.6</v>
      </c>
      <c r="D27" s="31"/>
      <c r="E27" s="32"/>
      <c r="F27" s="4"/>
    </row>
    <row r="28" spans="1:10" x14ac:dyDescent="0.25">
      <c r="A28" s="24" t="s">
        <v>61</v>
      </c>
      <c r="B28" s="19" t="s">
        <v>62</v>
      </c>
      <c r="C28" s="25">
        <f>(radEarth*(((((alt+radEarth)^2)/(radEarth^2))-(COS(del))^2)^(1/2)-SIN(del)))/1000</f>
        <v>846.51401891404282</v>
      </c>
      <c r="D28" s="33"/>
      <c r="E28" s="34"/>
      <c r="F28" s="4"/>
    </row>
    <row r="29" spans="1:10" x14ac:dyDescent="0.25">
      <c r="A29" s="26" t="s">
        <v>63</v>
      </c>
      <c r="B29" s="19" t="s">
        <v>41</v>
      </c>
      <c r="C29" s="27">
        <f>22+20*LOG10((C28*1000)/(c_/(udf*10^6)))</f>
        <v>143.88532424660877</v>
      </c>
      <c r="D29" s="33"/>
      <c r="E29" s="34"/>
      <c r="F29" s="4"/>
    </row>
    <row r="30" spans="1:10" x14ac:dyDescent="0.25">
      <c r="A30" s="26" t="s">
        <v>91</v>
      </c>
      <c r="B30" s="19" t="s">
        <v>60</v>
      </c>
      <c r="C30" s="27">
        <f>C23-SUM(C24:C27,C29)</f>
        <v>-146.18635424227276</v>
      </c>
      <c r="D30" s="33"/>
      <c r="E30" s="32"/>
      <c r="F30" s="4"/>
    </row>
    <row r="31" spans="1:10" x14ac:dyDescent="0.25">
      <c r="A31" s="24" t="s">
        <v>65</v>
      </c>
      <c r="B31" s="19" t="s">
        <v>66</v>
      </c>
      <c r="C31" s="27">
        <f>GSG-GSL-10*LOG(GSNT)</f>
        <v>-14.075701760979364</v>
      </c>
      <c r="D31" s="33"/>
      <c r="E31" s="32"/>
    </row>
    <row r="32" spans="1:10" ht="18" x14ac:dyDescent="0.35">
      <c r="A32" s="21" t="s">
        <v>67</v>
      </c>
      <c r="B32" s="22" t="s">
        <v>68</v>
      </c>
      <c r="C32" s="27">
        <f>C30-C24-k+C31</f>
        <v>67.737943996747873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10*LOG(udl)</f>
        <v>50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17.737943996747873</v>
      </c>
      <c r="D34" s="33"/>
      <c r="E34" s="32"/>
    </row>
    <row r="35" spans="1:5" x14ac:dyDescent="0.25">
      <c r="A35" s="13" t="s">
        <v>73</v>
      </c>
      <c r="B35" s="22"/>
      <c r="C35" s="55">
        <f>0.5*ERFC(2*(C34/SQRT(2)))</f>
        <v>5.7868402383453132E-276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7" priority="3" stopIfTrue="1" operator="lessThan">
      <formula>0</formula>
    </cfRule>
    <cfRule type="cellIs" dxfId="6" priority="4" stopIfTrue="1" operator="greaterThanOrEqual">
      <formula>0</formula>
    </cfRule>
  </conditionalFormatting>
  <conditionalFormatting sqref="C34">
    <cfRule type="cellIs" dxfId="5" priority="1" stopIfTrue="1" operator="lessThan">
      <formula>0</formula>
    </cfRule>
    <cfRule type="cellIs" dxfId="4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M22" sqref="M22"/>
    </sheetView>
  </sheetViews>
  <sheetFormatPr defaultColWidth="8.7109375" defaultRowHeight="15" x14ac:dyDescent="0.25"/>
  <cols>
    <col min="1" max="1" width="20.7109375" style="1" bestFit="1" customWidth="1"/>
    <col min="2" max="2" width="5.7109375" style="1" customWidth="1"/>
    <col min="3" max="3" width="7.5703125" style="1" bestFit="1" customWidth="1"/>
    <col min="4" max="4" width="19.5703125" style="1" customWidth="1"/>
    <col min="5" max="5" width="14.140625" style="1" customWidth="1"/>
    <col min="6" max="16384" width="8.7109375" style="1"/>
  </cols>
  <sheetData>
    <row r="1" spans="1:11" x14ac:dyDescent="0.25">
      <c r="A1" s="13"/>
      <c r="B1" s="20" t="s">
        <v>51</v>
      </c>
      <c r="C1" s="20" t="s">
        <v>52</v>
      </c>
      <c r="D1" s="62" t="s">
        <v>53</v>
      </c>
      <c r="E1" s="63"/>
      <c r="F1" s="33"/>
    </row>
    <row r="2" spans="1:11" x14ac:dyDescent="0.25">
      <c r="A2" s="21" t="s">
        <v>54</v>
      </c>
      <c r="B2" s="19" t="s">
        <v>26</v>
      </c>
      <c r="C2" s="22">
        <f>suf</f>
        <v>2.4</v>
      </c>
      <c r="D2" s="29" t="s">
        <v>98</v>
      </c>
      <c r="E2" s="30"/>
      <c r="F2" s="4"/>
    </row>
    <row r="3" spans="1:11" x14ac:dyDescent="0.25">
      <c r="A3" s="23" t="s">
        <v>56</v>
      </c>
      <c r="B3" s="19" t="s">
        <v>41</v>
      </c>
      <c r="C3" s="22">
        <f>10*LOG(GSTP)</f>
        <v>20</v>
      </c>
      <c r="D3" s="33"/>
      <c r="E3" s="34"/>
      <c r="F3" s="4"/>
    </row>
    <row r="4" spans="1:11" ht="16.5" customHeight="1" x14ac:dyDescent="0.25">
      <c r="A4" s="24" t="s">
        <v>57</v>
      </c>
      <c r="B4" s="19" t="s">
        <v>38</v>
      </c>
      <c r="C4" s="22">
        <f>GSG</f>
        <v>15</v>
      </c>
      <c r="D4" s="31"/>
      <c r="E4" s="32"/>
    </row>
    <row r="5" spans="1:11" ht="30.75" customHeight="1" x14ac:dyDescent="0.25">
      <c r="A5" s="57" t="s">
        <v>58</v>
      </c>
      <c r="B5" s="58" t="s">
        <v>41</v>
      </c>
      <c r="C5" s="59">
        <f>GSL</f>
        <v>2</v>
      </c>
      <c r="D5" s="56" t="s">
        <v>96</v>
      </c>
      <c r="E5" s="34"/>
    </row>
    <row r="6" spans="1:11" x14ac:dyDescent="0.25">
      <c r="A6" s="23" t="s">
        <v>59</v>
      </c>
      <c r="B6" s="19" t="s">
        <v>60</v>
      </c>
      <c r="C6" s="22">
        <f>C3+C4-C5</f>
        <v>33</v>
      </c>
      <c r="D6" s="31"/>
      <c r="E6" s="32"/>
    </row>
    <row r="7" spans="1:11" x14ac:dyDescent="0.25">
      <c r="A7" s="24" t="s">
        <v>89</v>
      </c>
      <c r="B7" s="19" t="s">
        <v>41</v>
      </c>
      <c r="C7" s="22">
        <f>GSPL</f>
        <v>0.2</v>
      </c>
      <c r="D7" s="33"/>
      <c r="E7" s="32"/>
    </row>
    <row r="8" spans="1:11" x14ac:dyDescent="0.25">
      <c r="A8" s="24" t="s">
        <v>88</v>
      </c>
      <c r="B8" s="19" t="s">
        <v>41</v>
      </c>
      <c r="C8" s="22">
        <f>loss</f>
        <v>0.2</v>
      </c>
      <c r="D8" s="33"/>
      <c r="E8" s="32"/>
    </row>
    <row r="9" spans="1:11" x14ac:dyDescent="0.25">
      <c r="A9" s="24" t="s">
        <v>86</v>
      </c>
      <c r="B9" s="19" t="s">
        <v>41</v>
      </c>
      <c r="C9" s="22">
        <f>AIL</f>
        <v>4.5999999999999996</v>
      </c>
      <c r="D9" s="33"/>
      <c r="E9" s="32"/>
      <c r="G9" s="4"/>
    </row>
    <row r="10" spans="1:11" x14ac:dyDescent="0.25">
      <c r="A10" s="24" t="s">
        <v>87</v>
      </c>
      <c r="B10" s="19" t="s">
        <v>41</v>
      </c>
      <c r="C10" s="22">
        <f>UIS</f>
        <v>0.4</v>
      </c>
      <c r="D10" s="33"/>
      <c r="E10" s="32"/>
      <c r="F10" s="4"/>
    </row>
    <row r="11" spans="1:11" x14ac:dyDescent="0.25">
      <c r="A11" s="24" t="s">
        <v>61</v>
      </c>
      <c r="B11" s="19" t="s">
        <v>62</v>
      </c>
      <c r="C11" s="25">
        <v>1979</v>
      </c>
      <c r="D11" s="33"/>
      <c r="E11" s="32"/>
    </row>
    <row r="12" spans="1:11" x14ac:dyDescent="0.25">
      <c r="A12" s="26" t="s">
        <v>63</v>
      </c>
      <c r="B12" s="19" t="s">
        <v>41</v>
      </c>
      <c r="C12" s="27">
        <f>22+20*LOG10((C11*1000)/(c_/(suf*10^9)))</f>
        <v>165.99672834023619</v>
      </c>
      <c r="D12" s="33"/>
      <c r="E12" s="32"/>
    </row>
    <row r="13" spans="1:11" x14ac:dyDescent="0.25">
      <c r="A13" s="26" t="s">
        <v>64</v>
      </c>
      <c r="B13" s="19" t="s">
        <v>60</v>
      </c>
      <c r="C13" s="27">
        <f>C6-SUM(C7:C10,C12)</f>
        <v>-138.39672834023619</v>
      </c>
      <c r="D13" s="33"/>
      <c r="E13" s="32"/>
    </row>
    <row r="14" spans="1:11" x14ac:dyDescent="0.25">
      <c r="A14" s="24" t="s">
        <v>65</v>
      </c>
      <c r="B14" s="19" t="s">
        <v>66</v>
      </c>
      <c r="C14" s="27">
        <f>SCG-SCL-10*LOG(SSNT)</f>
        <v>-21.166405073382808</v>
      </c>
      <c r="D14" s="33"/>
      <c r="E14" s="32"/>
      <c r="F14" s="4"/>
      <c r="K14" s="4"/>
    </row>
    <row r="15" spans="1:11" ht="18" x14ac:dyDescent="0.35">
      <c r="A15" s="21" t="s">
        <v>67</v>
      </c>
      <c r="B15" s="22" t="s">
        <v>68</v>
      </c>
      <c r="C15" s="27">
        <f>C13-C7-k+C14</f>
        <v>68.836866586381007</v>
      </c>
      <c r="D15" s="33"/>
      <c r="E15" s="37"/>
    </row>
    <row r="16" spans="1:11" ht="15.75" thickBot="1" x14ac:dyDescent="0.3">
      <c r="A16" s="23" t="s">
        <v>69</v>
      </c>
      <c r="B16" s="19" t="s">
        <v>41</v>
      </c>
      <c r="C16" s="40">
        <f>10*LOG(ul)</f>
        <v>36.020599913279625</v>
      </c>
      <c r="D16" s="33"/>
      <c r="E16" s="32"/>
    </row>
    <row r="17" spans="1:6" ht="18.75" thickBot="1" x14ac:dyDescent="0.4">
      <c r="A17" s="23" t="s">
        <v>70</v>
      </c>
      <c r="B17" s="19" t="s">
        <v>41</v>
      </c>
      <c r="C17" s="39">
        <f>C15-C16</f>
        <v>32.816266673101381</v>
      </c>
      <c r="D17" s="4"/>
      <c r="E17" s="37"/>
    </row>
    <row r="18" spans="1:6" x14ac:dyDescent="0.25">
      <c r="A18" s="13" t="s">
        <v>73</v>
      </c>
      <c r="B18" s="22"/>
      <c r="C18" s="55">
        <f>0.5*ERFC(2*(C17/SQRT(2)))</f>
        <v>0</v>
      </c>
      <c r="E18" s="44"/>
    </row>
    <row r="19" spans="1:6" x14ac:dyDescent="0.25">
      <c r="A19" s="21" t="s">
        <v>71</v>
      </c>
      <c r="B19" s="19" t="s">
        <v>26</v>
      </c>
      <c r="C19" s="22">
        <f>sdf</f>
        <v>2.4</v>
      </c>
      <c r="D19" s="29" t="s">
        <v>97</v>
      </c>
      <c r="E19" s="41"/>
      <c r="F19" s="4"/>
    </row>
    <row r="20" spans="1:6" x14ac:dyDescent="0.25">
      <c r="A20" s="23" t="s">
        <v>74</v>
      </c>
      <c r="B20" s="19" t="s">
        <v>41</v>
      </c>
      <c r="C20" s="54">
        <f>10*LOG(SCTP)</f>
        <v>6.9897000433601884</v>
      </c>
      <c r="D20" s="33"/>
      <c r="E20" s="32"/>
    </row>
    <row r="21" spans="1:6" x14ac:dyDescent="0.25">
      <c r="A21" s="24" t="s">
        <v>57</v>
      </c>
      <c r="B21" s="19" t="s">
        <v>38</v>
      </c>
      <c r="C21" s="22">
        <f>SCG</f>
        <v>5</v>
      </c>
      <c r="D21" s="33"/>
      <c r="E21" s="32"/>
    </row>
    <row r="22" spans="1:6" ht="29.25" customHeight="1" x14ac:dyDescent="0.25">
      <c r="A22" s="57" t="s">
        <v>90</v>
      </c>
      <c r="B22" s="58" t="s">
        <v>41</v>
      </c>
      <c r="C22" s="59">
        <f>SCL</f>
        <v>2</v>
      </c>
      <c r="D22" s="56" t="s">
        <v>96</v>
      </c>
      <c r="E22" s="32"/>
    </row>
    <row r="23" spans="1:6" x14ac:dyDescent="0.25">
      <c r="A23" s="23" t="s">
        <v>59</v>
      </c>
      <c r="B23" s="19" t="s">
        <v>60</v>
      </c>
      <c r="C23" s="27">
        <f>C20+C21-C22</f>
        <v>9.9897000433601875</v>
      </c>
      <c r="D23" s="33"/>
      <c r="E23" s="32"/>
    </row>
    <row r="24" spans="1:6" x14ac:dyDescent="0.25">
      <c r="A24" s="24" t="s">
        <v>89</v>
      </c>
      <c r="B24" s="19" t="s">
        <v>41</v>
      </c>
      <c r="C24" s="27">
        <f>GSPL</f>
        <v>0.2</v>
      </c>
      <c r="D24" s="31"/>
      <c r="E24" s="32"/>
    </row>
    <row r="25" spans="1:6" x14ac:dyDescent="0.25">
      <c r="A25" s="24" t="s">
        <v>88</v>
      </c>
      <c r="B25" s="19" t="s">
        <v>41</v>
      </c>
      <c r="C25" s="3">
        <f>loss</f>
        <v>0.2</v>
      </c>
      <c r="D25" s="33"/>
      <c r="E25" s="34"/>
    </row>
    <row r="26" spans="1:6" x14ac:dyDescent="0.25">
      <c r="A26" s="24" t="s">
        <v>86</v>
      </c>
      <c r="B26" s="19" t="s">
        <v>41</v>
      </c>
      <c r="C26" s="54">
        <f>AIL</f>
        <v>4.5999999999999996</v>
      </c>
      <c r="D26" s="33"/>
      <c r="E26" s="34"/>
    </row>
    <row r="27" spans="1:6" x14ac:dyDescent="0.25">
      <c r="A27" s="24" t="s">
        <v>87</v>
      </c>
      <c r="B27" s="19" t="s">
        <v>41</v>
      </c>
      <c r="C27" s="27">
        <f>DIS</f>
        <v>0.6</v>
      </c>
      <c r="D27" s="33"/>
      <c r="E27" s="32"/>
    </row>
    <row r="28" spans="1:6" x14ac:dyDescent="0.25">
      <c r="A28" s="24" t="s">
        <v>61</v>
      </c>
      <c r="B28" s="19" t="s">
        <v>62</v>
      </c>
      <c r="C28" s="25">
        <f>(radEarth*(((((alt+radEarth)^2)/(radEarth^2))-(COS(del))^2)^(1/2)-SIN(del)))/1000</f>
        <v>846.51401891404282</v>
      </c>
      <c r="D28" s="33"/>
      <c r="E28" s="32"/>
    </row>
    <row r="29" spans="1:6" x14ac:dyDescent="0.25">
      <c r="A29" s="26" t="s">
        <v>63</v>
      </c>
      <c r="B29" s="19" t="s">
        <v>41</v>
      </c>
      <c r="C29" s="27">
        <f>22+20*LOG10((C28*1000)/(c_/(sdf*10^9)))</f>
        <v>158.62049555111713</v>
      </c>
      <c r="D29" s="33"/>
      <c r="E29" s="32"/>
    </row>
    <row r="30" spans="1:6" x14ac:dyDescent="0.25">
      <c r="A30" s="26" t="s">
        <v>64</v>
      </c>
      <c r="B30" s="19" t="s">
        <v>60</v>
      </c>
      <c r="C30" s="27">
        <f>C23-SUM(C24:C27,C29)</f>
        <v>-154.23079550775694</v>
      </c>
      <c r="D30" s="33"/>
      <c r="E30" s="32"/>
    </row>
    <row r="31" spans="1:6" x14ac:dyDescent="0.25">
      <c r="A31" s="24" t="s">
        <v>65</v>
      </c>
      <c r="B31" s="19" t="s">
        <v>66</v>
      </c>
      <c r="C31" s="27">
        <f>GSG-GSL-10*LOG(GSNT)</f>
        <v>-14.075701760979364</v>
      </c>
      <c r="D31" s="33"/>
      <c r="E31" s="32"/>
    </row>
    <row r="32" spans="1:6" ht="18" x14ac:dyDescent="0.35">
      <c r="A32" s="21" t="s">
        <v>67</v>
      </c>
      <c r="B32" s="22" t="s">
        <v>68</v>
      </c>
      <c r="C32" s="27">
        <f>C30-C24-k+C31</f>
        <v>60.093502731263705</v>
      </c>
      <c r="D32" s="33"/>
      <c r="E32" s="32"/>
    </row>
    <row r="33" spans="1:5" ht="15.75" thickBot="1" x14ac:dyDescent="0.3">
      <c r="A33" s="23" t="s">
        <v>69</v>
      </c>
      <c r="B33" s="19" t="s">
        <v>41</v>
      </c>
      <c r="C33" s="40">
        <f>10*LOG(sdl)</f>
        <v>60</v>
      </c>
      <c r="D33" s="33"/>
      <c r="E33" s="32"/>
    </row>
    <row r="34" spans="1:5" ht="18.75" thickBot="1" x14ac:dyDescent="0.4">
      <c r="A34" s="23" t="s">
        <v>70</v>
      </c>
      <c r="B34" s="19" t="s">
        <v>41</v>
      </c>
      <c r="C34" s="39">
        <f>C32-C33</f>
        <v>9.3502731263704675E-2</v>
      </c>
      <c r="D34" s="33"/>
      <c r="E34" s="32"/>
    </row>
    <row r="35" spans="1:5" x14ac:dyDescent="0.25">
      <c r="A35" s="13" t="s">
        <v>73</v>
      </c>
      <c r="B35" s="22"/>
      <c r="C35" s="55">
        <f>0.5*ERFC(2*(C34/SQRT(2)))</f>
        <v>0.4258281750122187</v>
      </c>
      <c r="D35" s="35"/>
      <c r="E35" s="36"/>
    </row>
  </sheetData>
  <sheetProtection selectLockedCells="1" selectUnlockedCells="1"/>
  <mergeCells count="1">
    <mergeCell ref="D1:E1"/>
  </mergeCells>
  <conditionalFormatting sqref="C17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C34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27</vt:i4>
      </vt:variant>
    </vt:vector>
  </HeadingPairs>
  <TitlesOfParts>
    <vt:vector size="30" baseType="lpstr">
      <vt:lpstr>Input</vt:lpstr>
      <vt:lpstr>UHF</vt:lpstr>
      <vt:lpstr>S-Band</vt:lpstr>
      <vt:lpstr>AIL</vt:lpstr>
      <vt:lpstr>alt</vt:lpstr>
      <vt:lpstr>c_</vt:lpstr>
      <vt:lpstr>del</vt:lpstr>
      <vt:lpstr>DIS</vt:lpstr>
      <vt:lpstr>GSG</vt:lpstr>
      <vt:lpstr>GSL</vt:lpstr>
      <vt:lpstr>GSNT</vt:lpstr>
      <vt:lpstr>GSPL</vt:lpstr>
      <vt:lpstr>GSTP</vt:lpstr>
      <vt:lpstr>k</vt:lpstr>
      <vt:lpstr>loss</vt:lpstr>
      <vt:lpstr>radEarth</vt:lpstr>
      <vt:lpstr>SCG</vt:lpstr>
      <vt:lpstr>SCL</vt:lpstr>
      <vt:lpstr>SCPL</vt:lpstr>
      <vt:lpstr>SCTP</vt:lpstr>
      <vt:lpstr>sdf</vt:lpstr>
      <vt:lpstr>sdl</vt:lpstr>
      <vt:lpstr>SNT</vt:lpstr>
      <vt:lpstr>SSNT</vt:lpstr>
      <vt:lpstr>suf</vt:lpstr>
      <vt:lpstr>udf</vt:lpstr>
      <vt:lpstr>udl</vt:lpstr>
      <vt:lpstr>UIS</vt:lpstr>
      <vt:lpstr>ul</vt:lpstr>
      <vt:lpstr>uuf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 LEO</cp:lastModifiedBy>
  <dcterms:created xsi:type="dcterms:W3CDTF">2014-02-08T19:55:50Z</dcterms:created>
  <dcterms:modified xsi:type="dcterms:W3CDTF">2014-02-14T17:06:43Z</dcterms:modified>
</cp:coreProperties>
</file>