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585" yWindow="-15" windowWidth="12630" windowHeight="12990"/>
  </bookViews>
  <sheets>
    <sheet name="Environmental Torques" sheetId="1" r:id="rId1"/>
    <sheet name="Component Sizing" sheetId="2" r:id="rId2"/>
    <sheet name="hysteresis data from vendors" sheetId="4" r:id="rId3"/>
    <sheet name="ram area calculation" sheetId="5" r:id="rId4"/>
    <sheet name="Sheet1" sheetId="6" r:id="rId5"/>
  </sheets>
  <calcPr calcId="145621"/>
</workbook>
</file>

<file path=xl/calcChain.xml><?xml version="1.0" encoding="utf-8"?>
<calcChain xmlns="http://schemas.openxmlformats.org/spreadsheetml/2006/main">
  <c r="D9" i="5" l="1"/>
  <c r="D8" i="5"/>
  <c r="D7" i="5"/>
  <c r="D6" i="5"/>
  <c r="D5" i="5"/>
  <c r="B5" i="6"/>
  <c r="B4" i="6"/>
  <c r="B3" i="6"/>
  <c r="B2" i="6"/>
  <c r="I25" i="1"/>
  <c r="T10" i="1" l="1"/>
  <c r="M17" i="1"/>
  <c r="F16" i="2"/>
  <c r="T9" i="1"/>
  <c r="M19" i="1"/>
  <c r="I19" i="1"/>
  <c r="Y4" i="1"/>
  <c r="Y3" i="1"/>
  <c r="D10" i="5" l="1"/>
  <c r="Q32" i="1"/>
  <c r="Q31" i="1"/>
  <c r="J16" i="2"/>
  <c r="J10" i="2"/>
  <c r="J19" i="2" s="1"/>
  <c r="J20" i="2" s="1"/>
  <c r="J13" i="2"/>
  <c r="J14" i="2"/>
  <c r="O22" i="4"/>
  <c r="N22" i="4"/>
  <c r="P19" i="4"/>
  <c r="F19" i="4"/>
  <c r="M23" i="4"/>
  <c r="M24" i="4" s="1"/>
  <c r="N24" i="4" s="1"/>
  <c r="F65" i="4"/>
  <c r="E22" i="4"/>
  <c r="D22" i="4"/>
  <c r="C23" i="4"/>
  <c r="C24" i="4" s="1"/>
  <c r="E24" i="4" s="1"/>
  <c r="J12" i="2"/>
  <c r="J17" i="5" l="1"/>
  <c r="J12" i="5"/>
  <c r="J13" i="5"/>
  <c r="J15" i="5"/>
  <c r="J21" i="2"/>
  <c r="J11" i="5"/>
  <c r="J16" i="5"/>
  <c r="J14" i="5"/>
  <c r="J17" i="2"/>
  <c r="J15" i="2"/>
  <c r="D24" i="4"/>
  <c r="E23" i="4"/>
  <c r="O23" i="4"/>
  <c r="O24" i="4"/>
  <c r="D23" i="4"/>
  <c r="N23" i="4"/>
  <c r="M25" i="4"/>
  <c r="C25" i="4"/>
  <c r="F23" i="4" l="1"/>
  <c r="N25" i="4"/>
  <c r="O25" i="4"/>
  <c r="D25" i="4"/>
  <c r="E25" i="4"/>
  <c r="P22" i="4"/>
  <c r="M26" i="4"/>
  <c r="P23" i="4"/>
  <c r="C26" i="4"/>
  <c r="F22" i="4"/>
  <c r="E26" i="4" l="1"/>
  <c r="D26" i="4"/>
  <c r="N26" i="4"/>
  <c r="O26" i="4"/>
  <c r="M27" i="4"/>
  <c r="P24" i="4"/>
  <c r="C27" i="4"/>
  <c r="F24" i="4"/>
  <c r="D27" i="4" l="1"/>
  <c r="E27" i="4"/>
  <c r="N27" i="4"/>
  <c r="O27" i="4"/>
  <c r="P25" i="4"/>
  <c r="M28" i="4"/>
  <c r="C28" i="4"/>
  <c r="F25" i="4"/>
  <c r="F26" i="4" l="1"/>
  <c r="E28" i="4"/>
  <c r="D28" i="4"/>
  <c r="N28" i="4"/>
  <c r="O28" i="4"/>
  <c r="M29" i="4"/>
  <c r="P26" i="4"/>
  <c r="C29" i="4"/>
  <c r="F27" i="4" l="1"/>
  <c r="D29" i="4"/>
  <c r="E29" i="4"/>
  <c r="N29" i="4"/>
  <c r="O29" i="4"/>
  <c r="P27" i="4"/>
  <c r="M30" i="4"/>
  <c r="C30" i="4"/>
  <c r="F28" i="4" l="1"/>
  <c r="E30" i="4"/>
  <c r="D30" i="4"/>
  <c r="N30" i="4"/>
  <c r="O30" i="4"/>
  <c r="P28" i="4"/>
  <c r="M31" i="4"/>
  <c r="C31" i="4"/>
  <c r="F29" i="4" l="1"/>
  <c r="D31" i="4"/>
  <c r="E31" i="4"/>
  <c r="N31" i="4"/>
  <c r="O31" i="4"/>
  <c r="P29" i="4"/>
  <c r="M32" i="4"/>
  <c r="C32" i="4"/>
  <c r="F30" i="4" l="1"/>
  <c r="E32" i="4"/>
  <c r="D32" i="4"/>
  <c r="N32" i="4"/>
  <c r="O32" i="4"/>
  <c r="P30" i="4"/>
  <c r="M33" i="4"/>
  <c r="C33" i="4"/>
  <c r="F31" i="4" l="1"/>
  <c r="D33" i="4"/>
  <c r="E33" i="4"/>
  <c r="N33" i="4"/>
  <c r="O33" i="4"/>
  <c r="P31" i="4"/>
  <c r="M34" i="4"/>
  <c r="C34" i="4"/>
  <c r="F32" i="4" l="1"/>
  <c r="E34" i="4"/>
  <c r="D34" i="4"/>
  <c r="N34" i="4"/>
  <c r="O34" i="4"/>
  <c r="P32" i="4"/>
  <c r="M35" i="4"/>
  <c r="C35" i="4"/>
  <c r="F33" i="4" l="1"/>
  <c r="D35" i="4"/>
  <c r="E35" i="4"/>
  <c r="N35" i="4"/>
  <c r="O35" i="4"/>
  <c r="P33" i="4"/>
  <c r="M36" i="4"/>
  <c r="C36" i="4"/>
  <c r="F34" i="4" l="1"/>
  <c r="E36" i="4"/>
  <c r="D36" i="4"/>
  <c r="N36" i="4"/>
  <c r="O36" i="4"/>
  <c r="P34" i="4"/>
  <c r="M37" i="4"/>
  <c r="C37" i="4"/>
  <c r="F35" i="4" l="1"/>
  <c r="D37" i="4"/>
  <c r="E37" i="4"/>
  <c r="N37" i="4"/>
  <c r="O37" i="4"/>
  <c r="P35" i="4"/>
  <c r="M38" i="4"/>
  <c r="C38" i="4"/>
  <c r="F36" i="4" l="1"/>
  <c r="E38" i="4"/>
  <c r="D38" i="4"/>
  <c r="N38" i="4"/>
  <c r="O38" i="4"/>
  <c r="P36" i="4"/>
  <c r="M39" i="4"/>
  <c r="C39" i="4"/>
  <c r="F37" i="4" l="1"/>
  <c r="P37" i="4"/>
  <c r="D39" i="4"/>
  <c r="E39" i="4"/>
  <c r="N39" i="4"/>
  <c r="O39" i="4"/>
  <c r="M40" i="4"/>
  <c r="C40" i="4"/>
  <c r="P38" i="4" l="1"/>
  <c r="F38" i="4"/>
  <c r="E40" i="4"/>
  <c r="D40" i="4"/>
  <c r="N40" i="4"/>
  <c r="O40" i="4"/>
  <c r="M41" i="4"/>
  <c r="C41" i="4"/>
  <c r="P39" i="4" l="1"/>
  <c r="F39" i="4"/>
  <c r="D41" i="4"/>
  <c r="E41" i="4"/>
  <c r="N41" i="4"/>
  <c r="O41" i="4"/>
  <c r="M42" i="4"/>
  <c r="C42" i="4"/>
  <c r="P40" i="4" l="1"/>
  <c r="F40" i="4"/>
  <c r="E42" i="4"/>
  <c r="D42" i="4"/>
  <c r="F41" i="4" s="1"/>
  <c r="N42" i="4"/>
  <c r="O42" i="4"/>
  <c r="M43" i="4"/>
  <c r="C43" i="4"/>
  <c r="N43" i="4" l="1"/>
  <c r="O43" i="4"/>
  <c r="D43" i="4"/>
  <c r="E43" i="4"/>
  <c r="P41" i="4"/>
  <c r="M44" i="4"/>
  <c r="C44" i="4"/>
  <c r="F13" i="2"/>
  <c r="F42" i="4" l="1"/>
  <c r="E44" i="4"/>
  <c r="D44" i="4"/>
  <c r="N44" i="4"/>
  <c r="O44" i="4"/>
  <c r="P42" i="4"/>
  <c r="M45" i="4"/>
  <c r="C45" i="4"/>
  <c r="F43" i="4" l="1"/>
  <c r="D45" i="4"/>
  <c r="E45" i="4"/>
  <c r="N45" i="4"/>
  <c r="O45" i="4"/>
  <c r="P43" i="4"/>
  <c r="M46" i="4"/>
  <c r="C46" i="4"/>
  <c r="F44" i="4" l="1"/>
  <c r="E46" i="4"/>
  <c r="D46" i="4"/>
  <c r="N46" i="4"/>
  <c r="O46" i="4"/>
  <c r="P44" i="4"/>
  <c r="M47" i="4"/>
  <c r="C47" i="4"/>
  <c r="Q29" i="1"/>
  <c r="Q30" i="1" s="1"/>
  <c r="E19" i="1"/>
  <c r="E20" i="1" l="1"/>
  <c r="F45" i="4"/>
  <c r="D47" i="4"/>
  <c r="E47" i="4"/>
  <c r="N47" i="4"/>
  <c r="O47" i="4"/>
  <c r="P45" i="4"/>
  <c r="M48" i="4"/>
  <c r="C48" i="4"/>
  <c r="Y7" i="1"/>
  <c r="Y9" i="1" s="1"/>
  <c r="Y11" i="1" s="1"/>
  <c r="Y6" i="1"/>
  <c r="F46" i="4" l="1"/>
  <c r="E48" i="4"/>
  <c r="D48" i="4"/>
  <c r="N48" i="4"/>
  <c r="O48" i="4"/>
  <c r="P46" i="4"/>
  <c r="M49" i="4"/>
  <c r="C49" i="4"/>
  <c r="Y12" i="1"/>
  <c r="Y10" i="1"/>
  <c r="F47" i="4" l="1"/>
  <c r="D49" i="4"/>
  <c r="E49" i="4"/>
  <c r="N49" i="4"/>
  <c r="O49" i="4"/>
  <c r="P47" i="4"/>
  <c r="M50" i="4"/>
  <c r="C50" i="4"/>
  <c r="F48" i="4" l="1"/>
  <c r="E50" i="4"/>
  <c r="D50" i="4"/>
  <c r="N50" i="4"/>
  <c r="O50" i="4"/>
  <c r="P48" i="4"/>
  <c r="M51" i="4"/>
  <c r="C51" i="4"/>
  <c r="F49" i="4" l="1"/>
  <c r="D51" i="4"/>
  <c r="E51" i="4"/>
  <c r="N51" i="4"/>
  <c r="O51" i="4"/>
  <c r="P49" i="4"/>
  <c r="M52" i="4"/>
  <c r="C52" i="4"/>
  <c r="F50" i="4" l="1"/>
  <c r="E52" i="4"/>
  <c r="D52" i="4"/>
  <c r="N52" i="4"/>
  <c r="O52" i="4"/>
  <c r="P50" i="4"/>
  <c r="M53" i="4"/>
  <c r="C53" i="4"/>
  <c r="N50" i="1"/>
  <c r="N51" i="1" s="1"/>
  <c r="F51" i="4" l="1"/>
  <c r="D53" i="4"/>
  <c r="E53" i="4"/>
  <c r="N53" i="4"/>
  <c r="O53" i="4"/>
  <c r="P51" i="4"/>
  <c r="M54" i="4"/>
  <c r="C54" i="4"/>
  <c r="F52" i="4" l="1"/>
  <c r="E54" i="4"/>
  <c r="D54" i="4"/>
  <c r="N54" i="4"/>
  <c r="O54" i="4"/>
  <c r="P52" i="4"/>
  <c r="M55" i="4"/>
  <c r="C55" i="4"/>
  <c r="F18" i="2"/>
  <c r="P53" i="4" l="1"/>
  <c r="F53" i="4"/>
  <c r="D55" i="4"/>
  <c r="E55" i="4"/>
  <c r="N55" i="4"/>
  <c r="O55" i="4"/>
  <c r="M56" i="4"/>
  <c r="C56" i="4"/>
  <c r="Q23" i="1"/>
  <c r="F17" i="2"/>
  <c r="P54" i="4" l="1"/>
  <c r="F54" i="4"/>
  <c r="E56" i="4"/>
  <c r="D56" i="4"/>
  <c r="N56" i="4"/>
  <c r="O56" i="4"/>
  <c r="M57" i="4"/>
  <c r="C57" i="4"/>
  <c r="E17" i="1"/>
  <c r="K47" i="1"/>
  <c r="H47" i="1"/>
  <c r="H52" i="1" s="1"/>
  <c r="H53" i="1" s="1"/>
  <c r="N46" i="1"/>
  <c r="E45" i="1"/>
  <c r="F55" i="4" l="1"/>
  <c r="N57" i="4"/>
  <c r="O57" i="4"/>
  <c r="D57" i="4"/>
  <c r="E57" i="4"/>
  <c r="P55" i="4"/>
  <c r="M58" i="4"/>
  <c r="C58" i="4"/>
  <c r="K48" i="1"/>
  <c r="K49" i="1" s="1"/>
  <c r="K52" i="1" s="1"/>
  <c r="E50" i="1"/>
  <c r="F56" i="4" l="1"/>
  <c r="E58" i="4"/>
  <c r="D58" i="4"/>
  <c r="N58" i="4"/>
  <c r="O58" i="4"/>
  <c r="P56" i="4"/>
  <c r="M59" i="4"/>
  <c r="C59" i="4"/>
  <c r="N45" i="1"/>
  <c r="N48" i="1" s="1"/>
  <c r="I24" i="1"/>
  <c r="F57" i="4" l="1"/>
  <c r="D59" i="4"/>
  <c r="E59" i="4"/>
  <c r="N59" i="4"/>
  <c r="O59" i="4"/>
  <c r="P57" i="4"/>
  <c r="M60" i="4"/>
  <c r="C60" i="4"/>
  <c r="M20" i="1"/>
  <c r="M21" i="1" s="1"/>
  <c r="M24" i="1" s="1"/>
  <c r="E22" i="1"/>
  <c r="F58" i="4" l="1"/>
  <c r="E60" i="4"/>
  <c r="D60" i="4"/>
  <c r="N60" i="4"/>
  <c r="O60" i="4"/>
  <c r="P58" i="4"/>
  <c r="M61" i="4"/>
  <c r="C61" i="4"/>
  <c r="Q16" i="1"/>
  <c r="Q20" i="1" s="1"/>
  <c r="Q27" i="1" l="1"/>
  <c r="Q33" i="1" s="1"/>
  <c r="F59" i="4"/>
  <c r="D61" i="4"/>
  <c r="E61" i="4"/>
  <c r="N61" i="4"/>
  <c r="O61" i="4"/>
  <c r="P59" i="4"/>
  <c r="M62" i="4"/>
  <c r="C62" i="4"/>
  <c r="F60" i="4" l="1"/>
  <c r="E62" i="4"/>
  <c r="D62" i="4"/>
  <c r="N62" i="4"/>
  <c r="O62" i="4"/>
  <c r="P60" i="4"/>
  <c r="F61" i="4" l="1"/>
  <c r="P61" i="4"/>
  <c r="P62" i="4"/>
  <c r="P64" i="4" s="1"/>
  <c r="P67" i="4" s="1"/>
  <c r="F62" i="4"/>
  <c r="F64" i="4" s="1"/>
</calcChain>
</file>

<file path=xl/comments1.xml><?xml version="1.0" encoding="utf-8"?>
<comments xmlns="http://schemas.openxmlformats.org/spreadsheetml/2006/main">
  <authors>
    <author>James R. Dreas</author>
  </authors>
  <commentList>
    <comment ref="R3" authorId="0">
      <text>
        <r>
          <rPr>
            <sz val="9"/>
            <color indexed="81"/>
            <rFont val="Tahoma"/>
            <charset val="1"/>
          </rPr>
          <t>these numbers are estimates at this point.  Mass is the max allowable, cg-cp offset is max allowable, and a rectangular prism of uniform mass throughout is assumed</t>
        </r>
      </text>
    </comment>
  </commentList>
</comments>
</file>

<file path=xl/comments2.xml><?xml version="1.0" encoding="utf-8"?>
<comments xmlns="http://schemas.openxmlformats.org/spreadsheetml/2006/main">
  <authors>
    <author>owner</author>
    <author>James R. Dreas</author>
  </authors>
  <commentList>
    <comment ref="C13" authorId="0">
      <text>
        <r>
          <rPr>
            <sz val="9"/>
            <color indexed="81"/>
            <rFont val="Tahoma"/>
            <family val="2"/>
          </rPr>
          <t>they don't sell it in the annealed state</t>
        </r>
      </text>
    </comment>
    <comment ref="E19" authorId="1">
      <text>
        <r>
          <rPr>
            <sz val="9"/>
            <color indexed="81"/>
            <rFont val="Tahoma"/>
            <family val="2"/>
          </rPr>
          <t>IF rods are fully saturated</t>
        </r>
      </text>
    </comment>
    <comment ref="O19" authorId="1">
      <text>
        <r>
          <rPr>
            <sz val="9"/>
            <color indexed="81"/>
            <rFont val="Tahoma"/>
            <family val="2"/>
          </rPr>
          <t>IF rods are fully saturated</t>
        </r>
      </text>
    </comment>
  </commentList>
</comments>
</file>

<file path=xl/sharedStrings.xml><?xml version="1.0" encoding="utf-8"?>
<sst xmlns="http://schemas.openxmlformats.org/spreadsheetml/2006/main" count="281" uniqueCount="211">
  <si>
    <t>gravity gradient</t>
  </si>
  <si>
    <t>solar radiation</t>
  </si>
  <si>
    <t>aerodynamic</t>
  </si>
  <si>
    <r>
      <rPr>
        <sz val="11"/>
        <color theme="1"/>
        <rFont val="Calibri"/>
        <family val="2"/>
      </rPr>
      <t>μ (m</t>
    </r>
    <r>
      <rPr>
        <vertAlign val="superscript"/>
        <sz val="11"/>
        <color theme="1"/>
        <rFont val="Calibri"/>
        <family val="2"/>
      </rPr>
      <t>3</t>
    </r>
    <r>
      <rPr>
        <sz val="11"/>
        <color theme="1"/>
        <rFont val="Calibri"/>
        <family val="2"/>
      </rPr>
      <t>/s</t>
    </r>
    <r>
      <rPr>
        <vertAlign val="superscript"/>
        <sz val="11"/>
        <color theme="1"/>
        <rFont val="Calibri"/>
        <family val="2"/>
      </rPr>
      <t>2</t>
    </r>
    <r>
      <rPr>
        <sz val="11"/>
        <color theme="1"/>
        <rFont val="Calibri"/>
        <family val="2"/>
      </rPr>
      <t>)</t>
    </r>
  </si>
  <si>
    <t>θ (rad)</t>
  </si>
  <si>
    <t>c (m/s)</t>
  </si>
  <si>
    <t>cg (m)</t>
  </si>
  <si>
    <t>q</t>
  </si>
  <si>
    <r>
      <t>F</t>
    </r>
    <r>
      <rPr>
        <vertAlign val="subscript"/>
        <sz val="11"/>
        <color theme="1"/>
        <rFont val="Calibri"/>
        <family val="2"/>
        <scheme val="minor"/>
      </rPr>
      <t>s</t>
    </r>
    <r>
      <rPr>
        <sz val="11"/>
        <color theme="1"/>
        <rFont val="Calibri"/>
        <family val="2"/>
        <scheme val="minor"/>
      </rPr>
      <t xml:space="preserve"> (W/m</t>
    </r>
    <r>
      <rPr>
        <vertAlign val="superscript"/>
        <sz val="11"/>
        <color theme="1"/>
        <rFont val="Calibri"/>
        <family val="2"/>
        <scheme val="minor"/>
      </rPr>
      <t>2</t>
    </r>
    <r>
      <rPr>
        <sz val="11"/>
        <color theme="1"/>
        <rFont val="Calibri"/>
        <family val="2"/>
        <scheme val="minor"/>
      </rPr>
      <t>)</t>
    </r>
  </si>
  <si>
    <r>
      <t>A</t>
    </r>
    <r>
      <rPr>
        <vertAlign val="subscript"/>
        <sz val="11"/>
        <color theme="1"/>
        <rFont val="Calibri"/>
        <family val="2"/>
        <scheme val="minor"/>
      </rPr>
      <t>s</t>
    </r>
    <r>
      <rPr>
        <sz val="11"/>
        <color theme="1"/>
        <rFont val="Calibri"/>
        <family val="2"/>
        <scheme val="minor"/>
      </rPr>
      <t xml:space="preserve"> (m</t>
    </r>
    <r>
      <rPr>
        <vertAlign val="superscript"/>
        <sz val="11"/>
        <color theme="1"/>
        <rFont val="Calibri"/>
        <family val="2"/>
        <scheme val="minor"/>
      </rPr>
      <t>2</t>
    </r>
    <r>
      <rPr>
        <sz val="11"/>
        <color theme="1"/>
        <rFont val="Calibri"/>
        <family val="2"/>
        <scheme val="minor"/>
      </rPr>
      <t>)</t>
    </r>
  </si>
  <si>
    <r>
      <t>c</t>
    </r>
    <r>
      <rPr>
        <vertAlign val="subscript"/>
        <sz val="11"/>
        <color theme="1"/>
        <rFont val="Calibri"/>
        <family val="2"/>
        <scheme val="minor"/>
      </rPr>
      <t>ps</t>
    </r>
    <r>
      <rPr>
        <sz val="11"/>
        <color theme="1"/>
        <rFont val="Calibri"/>
        <family val="2"/>
        <scheme val="minor"/>
      </rPr>
      <t xml:space="preserve"> (m)</t>
    </r>
  </si>
  <si>
    <t>i (rad)</t>
  </si>
  <si>
    <t>F</t>
  </si>
  <si>
    <t>V (m/s)</t>
  </si>
  <si>
    <t>F (N)</t>
  </si>
  <si>
    <r>
      <t>c</t>
    </r>
    <r>
      <rPr>
        <vertAlign val="subscript"/>
        <sz val="11"/>
        <color theme="1"/>
        <rFont val="Calibri"/>
        <family val="2"/>
        <scheme val="minor"/>
      </rPr>
      <t>g</t>
    </r>
    <r>
      <rPr>
        <sz val="11"/>
        <color theme="1"/>
        <rFont val="Calibri"/>
        <family val="2"/>
        <scheme val="minor"/>
      </rPr>
      <t xml:space="preserve"> (m)</t>
    </r>
  </si>
  <si>
    <r>
      <t>A (m</t>
    </r>
    <r>
      <rPr>
        <vertAlign val="superscript"/>
        <sz val="11"/>
        <color theme="1"/>
        <rFont val="Calibri"/>
        <family val="2"/>
        <scheme val="minor"/>
      </rPr>
      <t>2</t>
    </r>
    <r>
      <rPr>
        <sz val="11"/>
        <color theme="1"/>
        <rFont val="Calibri"/>
        <family val="2"/>
        <scheme val="minor"/>
      </rPr>
      <t>)</t>
    </r>
  </si>
  <si>
    <r>
      <t>C</t>
    </r>
    <r>
      <rPr>
        <vertAlign val="subscript"/>
        <sz val="11"/>
        <color theme="1"/>
        <rFont val="Calibri"/>
        <family val="2"/>
        <scheme val="minor"/>
      </rPr>
      <t>d</t>
    </r>
  </si>
  <si>
    <r>
      <t>ρ (kg/m</t>
    </r>
    <r>
      <rPr>
        <vertAlign val="superscript"/>
        <sz val="11"/>
        <color theme="1"/>
        <rFont val="Calibri"/>
        <family val="2"/>
      </rPr>
      <t>3</t>
    </r>
    <r>
      <rPr>
        <sz val="11"/>
        <color theme="1"/>
        <rFont val="Calibri"/>
        <family val="2"/>
      </rPr>
      <t>)</t>
    </r>
  </si>
  <si>
    <r>
      <t>c</t>
    </r>
    <r>
      <rPr>
        <vertAlign val="subscript"/>
        <sz val="11"/>
        <color theme="1"/>
        <rFont val="Calibri"/>
        <family val="2"/>
        <scheme val="minor"/>
      </rPr>
      <t xml:space="preserve">pa </t>
    </r>
    <r>
      <rPr>
        <sz val="11"/>
        <color theme="1"/>
        <rFont val="Calibri"/>
        <family val="2"/>
        <scheme val="minor"/>
      </rPr>
      <t>(m)</t>
    </r>
  </si>
  <si>
    <r>
      <t>T</t>
    </r>
    <r>
      <rPr>
        <vertAlign val="subscript"/>
        <sz val="11"/>
        <color theme="1"/>
        <rFont val="Calibri"/>
        <family val="2"/>
        <scheme val="minor"/>
      </rPr>
      <t>a</t>
    </r>
    <r>
      <rPr>
        <sz val="11"/>
        <color theme="1"/>
        <rFont val="Calibri"/>
        <family val="2"/>
        <scheme val="minor"/>
      </rPr>
      <t xml:space="preserve"> (Nm)</t>
    </r>
  </si>
  <si>
    <r>
      <t>T</t>
    </r>
    <r>
      <rPr>
        <vertAlign val="subscript"/>
        <sz val="11"/>
        <color theme="1"/>
        <rFont val="Calibri"/>
        <family val="2"/>
        <scheme val="minor"/>
      </rPr>
      <t>sp</t>
    </r>
    <r>
      <rPr>
        <sz val="11"/>
        <color theme="1"/>
        <rFont val="Calibri"/>
        <family val="2"/>
        <scheme val="minor"/>
      </rPr>
      <t xml:space="preserve"> (Nm)</t>
    </r>
  </si>
  <si>
    <r>
      <t>T</t>
    </r>
    <r>
      <rPr>
        <vertAlign val="subscript"/>
        <sz val="11"/>
        <color theme="1"/>
        <rFont val="Calibri"/>
        <family val="2"/>
        <scheme val="minor"/>
      </rPr>
      <t>g</t>
    </r>
    <r>
      <rPr>
        <sz val="11"/>
        <color theme="1"/>
        <rFont val="Calibri"/>
        <family val="2"/>
        <scheme val="minor"/>
      </rPr>
      <t xml:space="preserve"> (Nm)</t>
    </r>
  </si>
  <si>
    <t>R (m)</t>
  </si>
  <si>
    <t>T Root Sum Square (Nm)</t>
  </si>
  <si>
    <r>
      <t>I</t>
    </r>
    <r>
      <rPr>
        <vertAlign val="subscript"/>
        <sz val="11"/>
        <color theme="1"/>
        <rFont val="Calibri"/>
        <family val="2"/>
        <scheme val="minor"/>
      </rPr>
      <t xml:space="preserve">x </t>
    </r>
    <r>
      <rPr>
        <sz val="11"/>
        <color theme="1"/>
        <rFont val="Calibri"/>
        <family val="2"/>
        <scheme val="minor"/>
      </rPr>
      <t>(kg*m</t>
    </r>
    <r>
      <rPr>
        <vertAlign val="superscript"/>
        <sz val="11"/>
        <color theme="1"/>
        <rFont val="Calibri"/>
        <family val="2"/>
        <scheme val="minor"/>
      </rPr>
      <t>2</t>
    </r>
    <r>
      <rPr>
        <sz val="11"/>
        <color theme="1"/>
        <rFont val="Calibri"/>
        <family val="2"/>
        <scheme val="minor"/>
      </rPr>
      <t>)</t>
    </r>
  </si>
  <si>
    <r>
      <t>I</t>
    </r>
    <r>
      <rPr>
        <vertAlign val="subscript"/>
        <sz val="11"/>
        <color theme="1"/>
        <rFont val="Calibri"/>
        <family val="2"/>
        <scheme val="minor"/>
      </rPr>
      <t>z</t>
    </r>
    <r>
      <rPr>
        <sz val="11"/>
        <color theme="1"/>
        <rFont val="Calibri"/>
        <family val="2"/>
        <scheme val="minor"/>
      </rPr>
      <t xml:space="preserve"> (kg*m</t>
    </r>
    <r>
      <rPr>
        <vertAlign val="superscript"/>
        <sz val="11"/>
        <color theme="1"/>
        <rFont val="Calibri"/>
        <family val="2"/>
        <scheme val="minor"/>
      </rPr>
      <t>2</t>
    </r>
    <r>
      <rPr>
        <sz val="11"/>
        <color theme="1"/>
        <rFont val="Calibri"/>
        <family val="2"/>
        <scheme val="minor"/>
      </rPr>
      <t>)</t>
    </r>
  </si>
  <si>
    <t>Source of Torque:</t>
  </si>
  <si>
    <r>
      <rPr>
        <sz val="11"/>
        <color theme="1"/>
        <rFont val="Calibri"/>
        <family val="2"/>
      </rPr>
      <t>β</t>
    </r>
    <r>
      <rPr>
        <vertAlign val="subscript"/>
        <sz val="11"/>
        <color theme="1"/>
        <rFont val="Calibri"/>
        <family val="2"/>
      </rPr>
      <t>max</t>
    </r>
    <r>
      <rPr>
        <sz val="11"/>
        <color theme="1"/>
        <rFont val="Calibri"/>
        <family val="2"/>
      </rPr>
      <t xml:space="preserve"> (degrees)</t>
    </r>
  </si>
  <si>
    <r>
      <t>B</t>
    </r>
    <r>
      <rPr>
        <vertAlign val="subscript"/>
        <sz val="11"/>
        <color theme="1"/>
        <rFont val="Calibri"/>
        <family val="2"/>
        <scheme val="minor"/>
      </rPr>
      <t>min (Telsa)</t>
    </r>
  </si>
  <si>
    <r>
      <t>m</t>
    </r>
    <r>
      <rPr>
        <vertAlign val="subscript"/>
        <sz val="11"/>
        <color theme="1"/>
        <rFont val="Calibri"/>
        <family val="2"/>
      </rPr>
      <t>min (A*m^2)</t>
    </r>
  </si>
  <si>
    <t>n/a</t>
  </si>
  <si>
    <t>&lt;--max density at 500 km, see SME</t>
  </si>
  <si>
    <t>&lt;-- best guess for drag coeff.</t>
  </si>
  <si>
    <t>Original document</t>
  </si>
  <si>
    <t>Edit History</t>
  </si>
  <si>
    <t>changed altitude from 325km to 500 km; also changed density accordingly</t>
  </si>
  <si>
    <t>radius</t>
  </si>
  <si>
    <t>earth's gravitational constant</t>
  </si>
  <si>
    <t>angle between the local vertical and Z principal axis</t>
  </si>
  <si>
    <t>solar radiation reaching earth</t>
  </si>
  <si>
    <t>speed of light</t>
  </si>
  <si>
    <t>sunlight surface area</t>
  </si>
  <si>
    <t>reflectance factor</t>
  </si>
  <si>
    <t>angle of incidence of the sun</t>
  </si>
  <si>
    <t>center of solar radiation pressure</t>
  </si>
  <si>
    <t>max atmospheric density at 500 km, see SMAD</t>
  </si>
  <si>
    <t>moment of inertia about Z (best estimate)</t>
  </si>
  <si>
    <t>moment of inertia about y (best estimate)</t>
  </si>
  <si>
    <t>center of mass (best estimate)</t>
  </si>
  <si>
    <t>satellite area (assuming max area that can face the atmosphere at once)</t>
  </si>
  <si>
    <t>orbital velocity (assumes perfectly circular orbit)</t>
  </si>
  <si>
    <t>drag force</t>
  </si>
  <si>
    <t>center of aerodynamic pressure</t>
  </si>
  <si>
    <t>center of mass *estimate)</t>
  </si>
  <si>
    <t>satellite drag coefficient (best estimate)</t>
  </si>
  <si>
    <t>pointing accuracy</t>
  </si>
  <si>
    <t>&lt;--we were using the incorrect area before</t>
  </si>
  <si>
    <t>THESE NUMBERS ARE FOR THE PREVIOUS 325 KM ORBIT AND ARE FOR COMPARISON ONLY</t>
  </si>
  <si>
    <r>
      <t>Changed B</t>
    </r>
    <r>
      <rPr>
        <vertAlign val="subscript"/>
        <sz val="11"/>
        <color theme="1"/>
        <rFont val="Calibri"/>
        <family val="2"/>
        <scheme val="minor"/>
      </rPr>
      <t>min</t>
    </r>
    <r>
      <rPr>
        <sz val="11"/>
        <color theme="1"/>
        <rFont val="Calibri"/>
        <family val="2"/>
        <scheme val="minor"/>
      </rPr>
      <t xml:space="preserve"> (Q13) to its value at 500 km</t>
    </r>
  </si>
  <si>
    <r>
      <t>m (A*m</t>
    </r>
    <r>
      <rPr>
        <vertAlign val="superscript"/>
        <sz val="11"/>
        <color theme="1"/>
        <rFont val="Calibri"/>
        <family val="2"/>
        <scheme val="minor"/>
      </rPr>
      <t>2</t>
    </r>
    <r>
      <rPr>
        <sz val="11"/>
        <color theme="1"/>
        <rFont val="Calibri"/>
        <family val="2"/>
        <scheme val="minor"/>
      </rPr>
      <t>)</t>
    </r>
  </si>
  <si>
    <r>
      <t>β</t>
    </r>
    <r>
      <rPr>
        <vertAlign val="subscript"/>
        <sz val="11"/>
        <color theme="1"/>
        <rFont val="Calibri"/>
        <family val="2"/>
      </rPr>
      <t>max</t>
    </r>
    <r>
      <rPr>
        <sz val="11"/>
        <color theme="1"/>
        <rFont val="Calibri"/>
        <family val="2"/>
      </rPr>
      <t xml:space="preserve"> changed from 10° to 45°</t>
    </r>
  </si>
  <si>
    <r>
      <t>m</t>
    </r>
    <r>
      <rPr>
        <vertAlign val="subscript"/>
        <sz val="11"/>
        <color theme="1"/>
        <rFont val="Calibri"/>
        <family val="2"/>
      </rPr>
      <t xml:space="preserve">min </t>
    </r>
    <r>
      <rPr>
        <sz val="11"/>
        <color theme="1"/>
        <rFont val="Calibri"/>
        <family val="2"/>
      </rPr>
      <t>(A*m</t>
    </r>
    <r>
      <rPr>
        <vertAlign val="superscript"/>
        <sz val="11"/>
        <color theme="1"/>
        <rFont val="Calibri"/>
        <family val="2"/>
      </rPr>
      <t>2</t>
    </r>
    <r>
      <rPr>
        <sz val="11"/>
        <color theme="1"/>
        <rFont val="Calibri"/>
        <family val="2"/>
      </rPr>
      <t>)</t>
    </r>
  </si>
  <si>
    <t>provides a magnetic control force 10 times larger than the environmental torques--&gt;</t>
  </si>
  <si>
    <t>Other notes:</t>
  </si>
  <si>
    <t>Need to update moment of inertia from ProE calcuations using the CAD model</t>
  </si>
  <si>
    <t>length (cm)</t>
  </si>
  <si>
    <t>width (cm)</t>
  </si>
  <si>
    <t>height (cm)</t>
  </si>
  <si>
    <r>
      <t>μ</t>
    </r>
    <r>
      <rPr>
        <vertAlign val="subscript"/>
        <sz val="9.9"/>
        <color theme="1"/>
        <rFont val="Calibri"/>
        <family val="2"/>
        <scheme val="minor"/>
      </rPr>
      <t xml:space="preserve">0 </t>
    </r>
    <r>
      <rPr>
        <sz val="9.9"/>
        <color theme="1"/>
        <rFont val="Calibri"/>
        <family val="2"/>
        <scheme val="minor"/>
      </rPr>
      <t>(m*kg/s</t>
    </r>
    <r>
      <rPr>
        <vertAlign val="superscript"/>
        <sz val="9.9"/>
        <color theme="1"/>
        <rFont val="Calibri"/>
        <family val="2"/>
        <scheme val="minor"/>
      </rPr>
      <t>2</t>
    </r>
    <r>
      <rPr>
        <sz val="9.9"/>
        <color theme="1"/>
        <rFont val="Calibri"/>
        <family val="2"/>
        <scheme val="minor"/>
      </rPr>
      <t>A</t>
    </r>
    <r>
      <rPr>
        <vertAlign val="superscript"/>
        <sz val="9.9"/>
        <color theme="1"/>
        <rFont val="Calibri"/>
        <family val="2"/>
        <scheme val="minor"/>
      </rPr>
      <t>2</t>
    </r>
    <r>
      <rPr>
        <sz val="9.9"/>
        <color theme="1"/>
        <rFont val="Calibri"/>
        <family val="2"/>
        <scheme val="minor"/>
      </rPr>
      <t>)</t>
    </r>
  </si>
  <si>
    <r>
      <t>m</t>
    </r>
    <r>
      <rPr>
        <vertAlign val="subscript"/>
        <sz val="11"/>
        <color theme="1"/>
        <rFont val="Calibri"/>
        <family val="2"/>
        <scheme val="minor"/>
      </rPr>
      <t>max</t>
    </r>
    <r>
      <rPr>
        <sz val="11"/>
        <color theme="1"/>
        <rFont val="Calibri"/>
        <family val="2"/>
        <scheme val="minor"/>
      </rPr>
      <t xml:space="preserve"> (A*m</t>
    </r>
    <r>
      <rPr>
        <vertAlign val="superscript"/>
        <sz val="11"/>
        <color theme="1"/>
        <rFont val="Calibri"/>
        <family val="2"/>
        <scheme val="minor"/>
      </rPr>
      <t>2</t>
    </r>
    <r>
      <rPr>
        <sz val="11"/>
        <color theme="1"/>
        <rFont val="Calibri"/>
        <family val="2"/>
        <scheme val="minor"/>
      </rPr>
      <t>)</t>
    </r>
  </si>
  <si>
    <r>
      <t>B</t>
    </r>
    <r>
      <rPr>
        <vertAlign val="subscript"/>
        <sz val="11"/>
        <color theme="1"/>
        <rFont val="Calibri"/>
        <family val="2"/>
        <scheme val="minor"/>
      </rPr>
      <t>surface</t>
    </r>
    <r>
      <rPr>
        <sz val="11"/>
        <color theme="1"/>
        <rFont val="Calibri"/>
        <family val="2"/>
        <scheme val="minor"/>
      </rPr>
      <t xml:space="preserve"> (T)</t>
    </r>
  </si>
  <si>
    <r>
      <t>B</t>
    </r>
    <r>
      <rPr>
        <vertAlign val="subscript"/>
        <sz val="11"/>
        <color theme="1"/>
        <rFont val="Calibri"/>
        <family val="2"/>
        <scheme val="minor"/>
      </rPr>
      <t>r,max</t>
    </r>
    <r>
      <rPr>
        <sz val="11"/>
        <color theme="1"/>
        <rFont val="Calibri"/>
        <family val="2"/>
        <scheme val="minor"/>
      </rPr>
      <t xml:space="preserve"> (T)</t>
    </r>
  </si>
  <si>
    <t xml:space="preserve">these numbers came from the seller's (K&amp;J Magnetics) website </t>
  </si>
  <si>
    <r>
      <t>volume (m</t>
    </r>
    <r>
      <rPr>
        <vertAlign val="superscript"/>
        <sz val="11"/>
        <color theme="1"/>
        <rFont val="Calibri"/>
        <family val="2"/>
        <scheme val="minor"/>
      </rPr>
      <t>3</t>
    </r>
    <r>
      <rPr>
        <sz val="11"/>
        <color theme="1"/>
        <rFont val="Calibri"/>
        <family val="2"/>
        <scheme val="minor"/>
      </rPr>
      <t>)</t>
    </r>
  </si>
  <si>
    <t>diameter (cm)</t>
  </si>
  <si>
    <t>(1)   SMAD III</t>
  </si>
  <si>
    <t>(2)   "Passive Magnetic Attitude Control for CubeSat Spacecraft" by Gerhardt and Palo</t>
  </si>
  <si>
    <t>(3)   Final Magnet Selection (COPPER document)</t>
  </si>
  <si>
    <t>(4)   Hysteresis Rod Selection (COPPER document)</t>
  </si>
  <si>
    <t>Magnet (single)</t>
  </si>
  <si>
    <t>material</t>
  </si>
  <si>
    <t>neodymium</t>
  </si>
  <si>
    <t>HyMu-80</t>
  </si>
  <si>
    <t>mass (g)</t>
  </si>
  <si>
    <r>
      <t>m</t>
    </r>
    <r>
      <rPr>
        <vertAlign val="subscript"/>
        <sz val="11"/>
        <color theme="1"/>
        <rFont val="Calibri"/>
        <family val="2"/>
        <scheme val="minor"/>
      </rPr>
      <t>magnet</t>
    </r>
    <r>
      <rPr>
        <sz val="11"/>
        <color theme="1"/>
        <rFont val="Calibri"/>
        <family val="2"/>
        <scheme val="minor"/>
      </rPr>
      <t xml:space="preserve"> (A*m</t>
    </r>
    <r>
      <rPr>
        <vertAlign val="superscript"/>
        <sz val="11"/>
        <color theme="1"/>
        <rFont val="Calibri"/>
        <family val="2"/>
        <scheme val="minor"/>
      </rPr>
      <t>2</t>
    </r>
    <r>
      <rPr>
        <sz val="11"/>
        <color theme="1"/>
        <rFont val="Calibri"/>
        <family val="2"/>
        <scheme val="minor"/>
      </rPr>
      <t>)</t>
    </r>
  </si>
  <si>
    <t>fixed incorrect max area calculation (cells I14 and M14)</t>
  </si>
  <si>
    <r>
      <t>dipole from 2 magnets (A*m</t>
    </r>
    <r>
      <rPr>
        <vertAlign val="superscript"/>
        <sz val="11"/>
        <color theme="1"/>
        <rFont val="Calibri"/>
        <family val="2"/>
        <scheme val="minor"/>
      </rPr>
      <t>2</t>
    </r>
    <r>
      <rPr>
        <sz val="11"/>
        <color theme="1"/>
        <rFont val="Calibri"/>
        <family val="2"/>
        <scheme val="minor"/>
      </rPr>
      <t>)</t>
    </r>
  </si>
  <si>
    <t>2 magnets were originally planned for the 325 km orbit</t>
  </si>
  <si>
    <r>
      <t>volume (cm</t>
    </r>
    <r>
      <rPr>
        <vertAlign val="superscript"/>
        <sz val="11"/>
        <color theme="1"/>
        <rFont val="Calibri"/>
        <family val="2"/>
        <scheme val="minor"/>
      </rPr>
      <t>3</t>
    </r>
    <r>
      <rPr>
        <sz val="11"/>
        <color theme="1"/>
        <rFont val="Calibri"/>
        <family val="2"/>
        <scheme val="minor"/>
      </rPr>
      <t>)</t>
    </r>
  </si>
  <si>
    <r>
      <t>density (g/cm</t>
    </r>
    <r>
      <rPr>
        <vertAlign val="superscript"/>
        <sz val="11"/>
        <color theme="1"/>
        <rFont val="Calibri"/>
        <family val="2"/>
        <scheme val="minor"/>
      </rPr>
      <t>3</t>
    </r>
    <r>
      <rPr>
        <sz val="11"/>
        <color theme="1"/>
        <rFont val="Calibri"/>
        <family val="2"/>
        <scheme val="minor"/>
      </rPr>
      <t>)</t>
    </r>
  </si>
  <si>
    <t xml:space="preserve"> </t>
  </si>
  <si>
    <t>x</t>
  </si>
  <si>
    <t>y</t>
  </si>
  <si>
    <t>z</t>
  </si>
  <si>
    <t>mass matrix</t>
  </si>
  <si>
    <r>
      <t>I (kg-m</t>
    </r>
    <r>
      <rPr>
        <vertAlign val="superscript"/>
        <sz val="11"/>
        <color theme="1"/>
        <rFont val="Times New Roman"/>
        <family val="1"/>
      </rPr>
      <t>2</t>
    </r>
    <r>
      <rPr>
        <sz val="11"/>
        <color theme="1"/>
        <rFont val="Times New Roman"/>
        <family val="1"/>
      </rPr>
      <t>)</t>
    </r>
  </si>
  <si>
    <t>L/D</t>
  </si>
  <si>
    <t>mass (kg)</t>
  </si>
  <si>
    <t>***OLD***mass matrix</t>
  </si>
  <si>
    <t>orbit</t>
  </si>
  <si>
    <r>
      <t>r</t>
    </r>
    <r>
      <rPr>
        <vertAlign val="subscript"/>
        <sz val="11"/>
        <color theme="1"/>
        <rFont val="Calibri"/>
        <family val="2"/>
        <scheme val="minor"/>
      </rPr>
      <t>a</t>
    </r>
    <r>
      <rPr>
        <sz val="11"/>
        <color theme="1"/>
        <rFont val="Calibri"/>
        <family val="2"/>
        <scheme val="minor"/>
      </rPr>
      <t xml:space="preserve"> (km)</t>
    </r>
  </si>
  <si>
    <r>
      <t>r</t>
    </r>
    <r>
      <rPr>
        <vertAlign val="subscript"/>
        <sz val="11"/>
        <color theme="1"/>
        <rFont val="Calibri"/>
        <family val="2"/>
        <scheme val="minor"/>
      </rPr>
      <t>p</t>
    </r>
    <r>
      <rPr>
        <sz val="11"/>
        <color theme="1"/>
        <rFont val="Calibri"/>
        <family val="2"/>
        <scheme val="minor"/>
      </rPr>
      <t xml:space="preserve"> (km)</t>
    </r>
  </si>
  <si>
    <r>
      <t>i (</t>
    </r>
    <r>
      <rPr>
        <sz val="11"/>
        <color theme="1"/>
        <rFont val="Calibri"/>
        <family val="2"/>
        <scheme val="minor"/>
      </rPr>
      <t>°</t>
    </r>
    <r>
      <rPr>
        <sz val="8.8000000000000007"/>
        <color theme="1"/>
        <rFont val="Calibri"/>
        <family val="2"/>
        <scheme val="minor"/>
      </rPr>
      <t>)</t>
    </r>
    <r>
      <rPr>
        <sz val="11"/>
        <color theme="1"/>
        <rFont val="Calibri"/>
        <family val="2"/>
        <scheme val="minor"/>
      </rPr>
      <t xml:space="preserve"> </t>
    </r>
  </si>
  <si>
    <t>e</t>
  </si>
  <si>
    <t>a (km)</t>
  </si>
  <si>
    <r>
      <rPr>
        <sz val="11"/>
        <color theme="1"/>
        <rFont val="Calibri"/>
        <family val="2"/>
      </rPr>
      <t>μ</t>
    </r>
    <r>
      <rPr>
        <sz val="8.8000000000000007"/>
        <color theme="1"/>
        <rFont val="Calibri"/>
        <family val="2"/>
      </rPr>
      <t xml:space="preserve"> </t>
    </r>
    <r>
      <rPr>
        <sz val="11"/>
        <color theme="1"/>
        <rFont val="Calibri"/>
        <family val="2"/>
        <scheme val="minor"/>
      </rPr>
      <t>(km</t>
    </r>
    <r>
      <rPr>
        <vertAlign val="superscript"/>
        <sz val="11"/>
        <color theme="1"/>
        <rFont val="Calibri"/>
        <family val="2"/>
        <scheme val="minor"/>
      </rPr>
      <t>3</t>
    </r>
    <r>
      <rPr>
        <sz val="11"/>
        <color theme="1"/>
        <rFont val="Calibri"/>
        <family val="2"/>
        <scheme val="minor"/>
      </rPr>
      <t>/s</t>
    </r>
    <r>
      <rPr>
        <vertAlign val="superscript"/>
        <sz val="11"/>
        <color theme="1"/>
        <rFont val="Calibri"/>
        <family val="2"/>
        <scheme val="minor"/>
      </rPr>
      <t>2</t>
    </r>
    <r>
      <rPr>
        <sz val="11"/>
        <color theme="1"/>
        <rFont val="Calibri"/>
        <family val="2"/>
        <scheme val="minor"/>
      </rPr>
      <t>)</t>
    </r>
  </si>
  <si>
    <r>
      <rPr>
        <sz val="8.8000000000000007"/>
        <color theme="1"/>
        <rFont val="Calibri"/>
        <family val="2"/>
      </rPr>
      <t xml:space="preserve">E </t>
    </r>
    <r>
      <rPr>
        <sz val="11"/>
        <color theme="1"/>
        <rFont val="Calibri"/>
        <family val="2"/>
        <scheme val="minor"/>
      </rPr>
      <t>(km</t>
    </r>
    <r>
      <rPr>
        <vertAlign val="superscript"/>
        <sz val="11"/>
        <color theme="1"/>
        <rFont val="Calibri"/>
        <family val="2"/>
        <scheme val="minor"/>
      </rPr>
      <t>2</t>
    </r>
    <r>
      <rPr>
        <sz val="11"/>
        <color theme="1"/>
        <rFont val="Calibri"/>
        <family val="2"/>
        <scheme val="minor"/>
      </rPr>
      <t>/s</t>
    </r>
    <r>
      <rPr>
        <vertAlign val="superscript"/>
        <sz val="11"/>
        <color theme="1"/>
        <rFont val="Calibri"/>
        <family val="2"/>
        <scheme val="minor"/>
      </rPr>
      <t>2</t>
    </r>
    <r>
      <rPr>
        <sz val="11"/>
        <color theme="1"/>
        <rFont val="Calibri"/>
        <family val="2"/>
        <scheme val="minor"/>
      </rPr>
      <t>)</t>
    </r>
  </si>
  <si>
    <r>
      <t>V</t>
    </r>
    <r>
      <rPr>
        <vertAlign val="subscript"/>
        <sz val="11"/>
        <color theme="1"/>
        <rFont val="Calibri"/>
        <family val="2"/>
        <scheme val="minor"/>
      </rPr>
      <t>a</t>
    </r>
    <r>
      <rPr>
        <sz val="11"/>
        <color theme="1"/>
        <rFont val="Calibri"/>
        <family val="2"/>
        <scheme val="minor"/>
      </rPr>
      <t xml:space="preserve"> (km/s)</t>
    </r>
  </si>
  <si>
    <r>
      <t>V</t>
    </r>
    <r>
      <rPr>
        <vertAlign val="subscript"/>
        <sz val="11"/>
        <color theme="1"/>
        <rFont val="Calibri"/>
        <family val="2"/>
        <scheme val="minor"/>
      </rPr>
      <t>p</t>
    </r>
    <r>
      <rPr>
        <sz val="11"/>
        <color theme="1"/>
        <rFont val="Calibri"/>
        <family val="2"/>
        <scheme val="minor"/>
      </rPr>
      <t xml:space="preserve"> (km/s)</t>
    </r>
  </si>
  <si>
    <t>P (hours)</t>
  </si>
  <si>
    <t>rotational energy (J)</t>
  </si>
  <si>
    <t>anticipated initial rotation rate (rad/s)</t>
  </si>
  <si>
    <t>ESPI Metals: Permalloy 80 *properties after annealing*</t>
  </si>
  <si>
    <t>source: http://www.espimetals.com/index.php/technical-data/175-Permalloy%2080</t>
  </si>
  <si>
    <t>symbol(s)</t>
  </si>
  <si>
    <t>unit(s)</t>
  </si>
  <si>
    <t>property</t>
  </si>
  <si>
    <t>saturation induction AKA magnetic flux saturation AKA saturation flux density</t>
  </si>
  <si>
    <t>Gauss, Tesla</t>
  </si>
  <si>
    <r>
      <rPr>
        <b/>
        <sz val="11"/>
        <color theme="1"/>
        <rFont val="Calibri"/>
        <family val="2"/>
        <scheme val="minor"/>
      </rPr>
      <t>B</t>
    </r>
    <r>
      <rPr>
        <vertAlign val="subscript"/>
        <sz val="11"/>
        <color theme="1"/>
        <rFont val="Calibri"/>
        <family val="2"/>
        <scheme val="minor"/>
      </rPr>
      <t>s,</t>
    </r>
    <r>
      <rPr>
        <sz val="11"/>
        <color theme="1"/>
        <rFont val="Calibri"/>
        <family val="2"/>
        <scheme val="minor"/>
      </rPr>
      <t xml:space="preserve"> </t>
    </r>
    <r>
      <rPr>
        <b/>
        <sz val="11"/>
        <color theme="1"/>
        <rFont val="Calibri"/>
        <family val="2"/>
        <scheme val="minor"/>
      </rPr>
      <t>B</t>
    </r>
    <r>
      <rPr>
        <b/>
        <vertAlign val="subscript"/>
        <sz val="11"/>
        <color theme="1"/>
        <rFont val="Calibri"/>
        <family val="2"/>
        <scheme val="minor"/>
      </rPr>
      <t>m</t>
    </r>
  </si>
  <si>
    <r>
      <rPr>
        <b/>
        <sz val="11"/>
        <color theme="1"/>
        <rFont val="Calibri"/>
        <family val="2"/>
        <scheme val="minor"/>
      </rPr>
      <t>B</t>
    </r>
    <r>
      <rPr>
        <b/>
        <vertAlign val="subscript"/>
        <sz val="11"/>
        <color theme="1"/>
        <rFont val="Calibri"/>
        <family val="2"/>
        <scheme val="minor"/>
      </rPr>
      <t>r</t>
    </r>
    <r>
      <rPr>
        <sz val="11"/>
        <color theme="1"/>
        <rFont val="Calibri"/>
        <family val="2"/>
        <scheme val="minor"/>
      </rPr>
      <t xml:space="preserve">, </t>
    </r>
    <r>
      <rPr>
        <b/>
        <sz val="11"/>
        <color theme="1"/>
        <rFont val="Calibri"/>
        <family val="2"/>
        <scheme val="minor"/>
      </rPr>
      <t>B</t>
    </r>
    <r>
      <rPr>
        <b/>
        <vertAlign val="subscript"/>
        <sz val="11"/>
        <color theme="1"/>
        <rFont val="Calibri"/>
        <family val="2"/>
        <scheme val="minor"/>
      </rPr>
      <t>0</t>
    </r>
  </si>
  <si>
    <t>remanance AKA remanance of magnetization AKA residual induction</t>
  </si>
  <si>
    <r>
      <rPr>
        <b/>
        <sz val="11"/>
        <color theme="1"/>
        <rFont val="Calibri"/>
        <family val="2"/>
        <scheme val="minor"/>
      </rPr>
      <t>H</t>
    </r>
    <r>
      <rPr>
        <b/>
        <vertAlign val="subscript"/>
        <sz val="11"/>
        <color theme="1"/>
        <rFont val="Calibri"/>
        <family val="2"/>
        <scheme val="minor"/>
      </rPr>
      <t>C</t>
    </r>
    <r>
      <rPr>
        <sz val="11"/>
        <color theme="1"/>
        <rFont val="Calibri"/>
        <family val="2"/>
        <scheme val="minor"/>
      </rPr>
      <t>, H</t>
    </r>
    <r>
      <rPr>
        <b/>
        <vertAlign val="subscript"/>
        <sz val="11"/>
        <color theme="1"/>
        <rFont val="Calibri"/>
        <family val="2"/>
        <scheme val="minor"/>
      </rPr>
      <t>0</t>
    </r>
  </si>
  <si>
    <t>coercive force AKA coercivity</t>
  </si>
  <si>
    <t>Oersted, Ampere/meter</t>
  </si>
  <si>
    <t>Bs (G)</t>
  </si>
  <si>
    <t>Br (G)</t>
  </si>
  <si>
    <t>Hc (Oe)</t>
  </si>
  <si>
    <t>H (Oe)</t>
  </si>
  <si>
    <t>+B (G)</t>
  </si>
  <si>
    <t>-B (G)</t>
  </si>
  <si>
    <t>parallelogram approximation</t>
  </si>
  <si>
    <t>source: http://www.mushield.com/material-specs.shtml</t>
  </si>
  <si>
    <t>DC hysteresis loss from H=1 Oe, J/cm3/cycle</t>
  </si>
  <si>
    <t>DC hysteresis loss from saturation, J/cm3/cycle</t>
  </si>
  <si>
    <t>Area between curves (Oe*G):</t>
  </si>
  <si>
    <t>(1)   "A Magnetic Hysteresis Model" by Flatley and Henretty</t>
  </si>
  <si>
    <t>(2)   "Model-based Simulation of Passive Attitude Control of SLUCUBE-2 using Nonlinear Hysteresis and Geo-Magnetic Models" by Pais and Jayaram</t>
  </si>
  <si>
    <t>(3)   "Study of Passive and Active Attitude Control Systems for the OUFTI Nanosatellites" master thesis by Francois-Lavet</t>
  </si>
  <si>
    <t>(4)   "Delfi-C3 Control System Development and Verification" by Poppenk and Amini</t>
  </si>
  <si>
    <t>note:</t>
  </si>
  <si>
    <t>HyMu 80 is an alloy of 80% Ni, 14.9% Fe, 4.2% Mo, 0.5% Ma, 0.35% Si, and 0.02% C.  It is often listed under different names, but as long as its around 80% Ni, its probably the same material.</t>
  </si>
  <si>
    <t>B-H curves (hysteresis loops) are formed by the three parameters Bs, Br, and Hc, using the approximation equations listed in source (1).  Area under curve is approximately equal to the energy dissipated during one cycle (or reversal of the rod's polarity) source (4).</t>
  </si>
  <si>
    <t>References</t>
  </si>
  <si>
    <t xml:space="preserve">MuShield: HyMu 80 alloy (annealed as sold) </t>
  </si>
  <si>
    <t>Hysteresis rod (each)</t>
  </si>
  <si>
    <r>
      <t>B</t>
    </r>
    <r>
      <rPr>
        <vertAlign val="subscript"/>
        <sz val="11"/>
        <color theme="1"/>
        <rFont val="Calibri"/>
        <family val="2"/>
        <scheme val="minor"/>
      </rPr>
      <t>hyst</t>
    </r>
    <r>
      <rPr>
        <sz val="11"/>
        <color theme="1"/>
        <rFont val="Calibri"/>
        <family val="2"/>
        <scheme val="minor"/>
      </rPr>
      <t xml:space="preserve"> (T)</t>
    </r>
  </si>
  <si>
    <r>
      <t>m</t>
    </r>
    <r>
      <rPr>
        <vertAlign val="subscript"/>
        <sz val="11"/>
        <color theme="1"/>
        <rFont val="Calibri"/>
        <family val="2"/>
        <scheme val="minor"/>
      </rPr>
      <t>hyst</t>
    </r>
    <r>
      <rPr>
        <sz val="11"/>
        <color theme="1"/>
        <rFont val="Calibri"/>
        <family val="2"/>
        <scheme val="minor"/>
      </rPr>
      <t xml:space="preserve"> (A*m</t>
    </r>
    <r>
      <rPr>
        <vertAlign val="superscript"/>
        <sz val="11"/>
        <color theme="1"/>
        <rFont val="Calibri"/>
        <family val="2"/>
        <scheme val="minor"/>
      </rPr>
      <t>2</t>
    </r>
    <r>
      <rPr>
        <sz val="11"/>
        <color theme="1"/>
        <rFont val="Calibri"/>
        <family val="2"/>
        <scheme val="minor"/>
      </rPr>
      <t>)</t>
    </r>
  </si>
  <si>
    <t>&lt;-- see Ref 2, page2; tradeoff between settling time and steady-state error</t>
  </si>
  <si>
    <t>N (demagnetizing factor)</t>
  </si>
  <si>
    <t>&lt;-- from supplier's website</t>
  </si>
  <si>
    <t>(3)   Hysteresis Rod Selection (COPPER document)</t>
  </si>
  <si>
    <t>magnetic moment of the earth multiplied by the magnetic constant</t>
  </si>
  <si>
    <r>
      <t>M (T-m</t>
    </r>
    <r>
      <rPr>
        <vertAlign val="superscript"/>
        <sz val="11"/>
        <color theme="1"/>
        <rFont val="Calibri"/>
        <family val="2"/>
        <scheme val="minor"/>
      </rPr>
      <t>3</t>
    </r>
    <r>
      <rPr>
        <sz val="11"/>
        <color theme="1"/>
        <rFont val="Calibri"/>
        <family val="2"/>
        <scheme val="minor"/>
      </rPr>
      <t>)</t>
    </r>
  </si>
  <si>
    <r>
      <t>B</t>
    </r>
    <r>
      <rPr>
        <vertAlign val="subscript"/>
        <sz val="11"/>
        <color theme="1"/>
        <rFont val="Calibri"/>
        <family val="2"/>
        <scheme val="minor"/>
      </rPr>
      <t xml:space="preserve">min </t>
    </r>
    <r>
      <rPr>
        <sz val="11"/>
        <color theme="1"/>
        <rFont val="Calibri"/>
        <family val="2"/>
        <scheme val="minor"/>
      </rPr>
      <t>(Telsa)</t>
    </r>
  </si>
  <si>
    <t>magnetic field strength at altitude (from Gerrit's code)</t>
  </si>
  <si>
    <t>&lt;--compare with cell Q13; Q13 should be more accurate</t>
  </si>
  <si>
    <t>alternate calculation of magnet strength</t>
  </si>
  <si>
    <r>
      <t>B</t>
    </r>
    <r>
      <rPr>
        <vertAlign val="subscript"/>
        <sz val="11"/>
        <color theme="1"/>
        <rFont val="Calibri"/>
        <family val="2"/>
        <scheme val="minor"/>
      </rPr>
      <t xml:space="preserve">magnitude </t>
    </r>
    <r>
      <rPr>
        <sz val="11"/>
        <color theme="1"/>
        <rFont val="Calibri"/>
        <family val="2"/>
        <scheme val="minor"/>
      </rPr>
      <t>(T)</t>
    </r>
  </si>
  <si>
    <r>
      <t>T</t>
    </r>
    <r>
      <rPr>
        <vertAlign val="subscript"/>
        <sz val="11"/>
        <color theme="1"/>
        <rFont val="Calibri"/>
        <family val="2"/>
        <scheme val="minor"/>
      </rPr>
      <t>RSS</t>
    </r>
    <r>
      <rPr>
        <sz val="11"/>
        <color theme="1"/>
        <rFont val="Calibri"/>
        <family val="2"/>
        <scheme val="minor"/>
      </rPr>
      <t xml:space="preserve"> (N-m)</t>
    </r>
  </si>
  <si>
    <t>radius from center of Earth to satellite</t>
  </si>
  <si>
    <t>magnitude of magnetic field at altitude</t>
  </si>
  <si>
    <t>root sum square of the environmental torques</t>
  </si>
  <si>
    <t>Hysteresis Data obtained online from vendor websites</t>
  </si>
  <si>
    <t>Very few  companies sell hysteresis rod smaller than 0.25" in diameter.  ESPI Metals, MuShield, and Aero Industries are some of the only companies that offer rod a millimeter or two in diameter.</t>
  </si>
  <si>
    <t>added hysteresis sheet &amp; alternate magnet calculations</t>
  </si>
  <si>
    <t>scale factor</t>
  </si>
  <si>
    <t>multiplication factor for magnetic torques to ensure they are much greater than the environmental torques. Source (2) uses 10, another source uses 30.</t>
  </si>
  <si>
    <t>strength of the magnet we have</t>
  </si>
  <si>
    <t>any concerns with magnet being a bit too strong?</t>
  </si>
  <si>
    <t>any concerns with only using one magnet instead of two?</t>
  </si>
  <si>
    <t>gravity gradient torque</t>
  </si>
  <si>
    <t>solar radiation torque</t>
  </si>
  <si>
    <t>aerodynamic torque</t>
  </si>
  <si>
    <t>magnetic dipole needed to create a control torque n times that of the root sum square of the other environmental torques</t>
  </si>
  <si>
    <t>color key</t>
  </si>
  <si>
    <t>yellow</t>
  </si>
  <si>
    <t>red</t>
  </si>
  <si>
    <t>need to verify number &amp;/or calculation</t>
  </si>
  <si>
    <t>incorrect number &amp;/or calculation, need to fix</t>
  </si>
  <si>
    <t>gray</t>
  </si>
  <si>
    <t>(1)   SMAD III (Equations from page 366)</t>
  </si>
  <si>
    <t>old numbers, kept for reference (don't use anymore)</t>
  </si>
  <si>
    <r>
      <t>β</t>
    </r>
    <r>
      <rPr>
        <vertAlign val="subscript"/>
        <sz val="11"/>
        <color theme="1"/>
        <rFont val="Calibri"/>
        <family val="2"/>
      </rPr>
      <t>max</t>
    </r>
    <r>
      <rPr>
        <sz val="11"/>
        <color theme="1"/>
        <rFont val="Calibri"/>
        <family val="2"/>
      </rPr>
      <t xml:space="preserve"> (degrees)</t>
    </r>
  </si>
  <si>
    <t>editor</t>
  </si>
  <si>
    <t>JD</t>
  </si>
  <si>
    <t>GS</t>
  </si>
  <si>
    <t>date</t>
  </si>
  <si>
    <t>hysteresis loss from saturation using area between curves (J/cm3/cycle)</t>
  </si>
  <si>
    <t>X+</t>
  </si>
  <si>
    <t>X-</t>
  </si>
  <si>
    <t>Y+</t>
  </si>
  <si>
    <t>Y-</t>
  </si>
  <si>
    <t>Z+</t>
  </si>
  <si>
    <t>Z-</t>
  </si>
  <si>
    <t>face</t>
  </si>
  <si>
    <r>
      <t>area (m</t>
    </r>
    <r>
      <rPr>
        <vertAlign val="superscript"/>
        <sz val="11"/>
        <color theme="1"/>
        <rFont val="Calibri"/>
        <family val="2"/>
        <scheme val="minor"/>
      </rPr>
      <t>2</t>
    </r>
    <r>
      <rPr>
        <sz val="11"/>
        <color theme="1"/>
        <rFont val="Calibri"/>
        <family val="2"/>
        <scheme val="minor"/>
      </rPr>
      <t>)</t>
    </r>
  </si>
  <si>
    <t>ram area: the area presented to the spacecraft's velocity direction</t>
  </si>
  <si>
    <t>magnet and hysteresis rod sizing calculations</t>
  </si>
  <si>
    <t>Torque Sources</t>
  </si>
  <si>
    <t>Torque</t>
  </si>
  <si>
    <t>Magnetic Dipole Requirement</t>
  </si>
  <si>
    <t>Gravity Gradient</t>
  </si>
  <si>
    <t>Solar Radiation</t>
  </si>
  <si>
    <t>Aerodynamic</t>
  </si>
  <si>
    <t>Nm</t>
  </si>
  <si>
    <r>
      <t>Am</t>
    </r>
    <r>
      <rPr>
        <vertAlign val="superscript"/>
        <sz val="11"/>
        <color theme="1"/>
        <rFont val="Calibri"/>
        <family val="2"/>
        <scheme val="minor"/>
      </rPr>
      <t>2</t>
    </r>
  </si>
  <si>
    <t>Rascal Environmental Torques</t>
  </si>
  <si>
    <t>Made Changes so it could work for Rascal</t>
  </si>
  <si>
    <t>NR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</si>
</sst>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E+00"/>
    <numFmt numFmtId="166" formatCode="0.000"/>
    <numFmt numFmtId="167" formatCode="0.0000000"/>
    <numFmt numFmtId="168" formatCode="0.0000"/>
    <numFmt numFmtId="169" formatCode="0.00000"/>
    <numFmt numFmtId="170" formatCode="0.00000000"/>
    <numFmt numFmtId="171" formatCode="0.0"/>
  </numFmts>
  <fonts count="22" x14ac:knownFonts="1">
    <font>
      <sz val="11"/>
      <color theme="1"/>
      <name val="Calibri"/>
      <family val="2"/>
      <scheme val="minor"/>
    </font>
    <font>
      <vertAlign val="subscript"/>
      <sz val="11"/>
      <color theme="1"/>
      <name val="Calibri"/>
      <family val="2"/>
      <scheme val="minor"/>
    </font>
    <font>
      <sz val="11"/>
      <color theme="1"/>
      <name val="Calibri"/>
      <family val="2"/>
    </font>
    <font>
      <vertAlign val="superscript"/>
      <sz val="11"/>
      <color theme="1"/>
      <name val="Calibri"/>
      <family val="2"/>
    </font>
    <font>
      <vertAlign val="superscript"/>
      <sz val="11"/>
      <color theme="1"/>
      <name val="Calibri"/>
      <family val="2"/>
      <scheme val="minor"/>
    </font>
    <font>
      <vertAlign val="subscript"/>
      <sz val="11"/>
      <color theme="1"/>
      <name val="Calibri"/>
      <family val="2"/>
    </font>
    <font>
      <sz val="11"/>
      <color rgb="FFFF0000"/>
      <name val="Calibri"/>
      <family val="2"/>
      <scheme val="minor"/>
    </font>
    <font>
      <sz val="8"/>
      <color theme="1"/>
      <name val="Calibri"/>
      <family val="2"/>
      <scheme val="minor"/>
    </font>
    <font>
      <sz val="10"/>
      <color theme="1"/>
      <name val="Calibri"/>
      <family val="2"/>
      <scheme val="minor"/>
    </font>
    <font>
      <b/>
      <sz val="11"/>
      <color theme="1"/>
      <name val="Calibri"/>
      <family val="2"/>
      <scheme val="minor"/>
    </font>
    <font>
      <sz val="11"/>
      <name val="Calibri"/>
      <family val="2"/>
      <scheme val="minor"/>
    </font>
    <font>
      <vertAlign val="subscript"/>
      <sz val="9.9"/>
      <color theme="1"/>
      <name val="Calibri"/>
      <family val="2"/>
      <scheme val="minor"/>
    </font>
    <font>
      <sz val="9.9"/>
      <color theme="1"/>
      <name val="Calibri"/>
      <family val="2"/>
      <scheme val="minor"/>
    </font>
    <font>
      <vertAlign val="superscript"/>
      <sz val="9.9"/>
      <color theme="1"/>
      <name val="Calibri"/>
      <family val="2"/>
      <scheme val="minor"/>
    </font>
    <font>
      <sz val="11"/>
      <color theme="1"/>
      <name val="Times New Roman"/>
      <family val="1"/>
    </font>
    <font>
      <vertAlign val="superscript"/>
      <sz val="11"/>
      <color theme="1"/>
      <name val="Times New Roman"/>
      <family val="1"/>
    </font>
    <font>
      <sz val="8.8000000000000007"/>
      <color theme="1"/>
      <name val="Calibri"/>
      <family val="2"/>
    </font>
    <font>
      <sz val="8.8000000000000007"/>
      <color theme="1"/>
      <name val="Calibri"/>
      <family val="2"/>
      <scheme val="minor"/>
    </font>
    <font>
      <sz val="9"/>
      <color indexed="81"/>
      <name val="Tahoma"/>
      <charset val="1"/>
    </font>
    <font>
      <sz val="11"/>
      <color rgb="FFFF0000"/>
      <name val="Times New Roman"/>
      <family val="1"/>
    </font>
    <font>
      <sz val="9"/>
      <color indexed="81"/>
      <name val="Tahoma"/>
      <family val="2"/>
    </font>
    <font>
      <b/>
      <vertAlign val="subscrip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1D1D"/>
        <bgColor indexed="64"/>
      </patternFill>
    </fill>
    <fill>
      <patternFill patternType="solid">
        <fgColor theme="0" tint="-0.14999847407452621"/>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diagonal/>
    </border>
  </borders>
  <cellStyleXfs count="1">
    <xf numFmtId="0" fontId="0" fillId="0" borderId="0"/>
  </cellStyleXfs>
  <cellXfs count="204">
    <xf numFmtId="0" fontId="0" fillId="0" borderId="0" xfId="0"/>
    <xf numFmtId="0" fontId="0" fillId="0" borderId="3" xfId="0" applyFill="1" applyBorder="1"/>
    <xf numFmtId="0" fontId="0" fillId="0" borderId="5" xfId="0" applyFill="1" applyBorder="1"/>
    <xf numFmtId="0" fontId="0" fillId="0" borderId="0" xfId="0" applyFill="1"/>
    <xf numFmtId="0" fontId="0" fillId="0" borderId="6" xfId="0" applyFill="1" applyBorder="1"/>
    <xf numFmtId="0" fontId="0" fillId="0" borderId="4" xfId="0" applyFill="1" applyBorder="1"/>
    <xf numFmtId="11" fontId="0" fillId="0" borderId="6" xfId="0" applyNumberFormat="1" applyFill="1" applyBorder="1"/>
    <xf numFmtId="11" fontId="0" fillId="0" borderId="4" xfId="0" applyNumberFormat="1" applyFill="1" applyBorder="1"/>
    <xf numFmtId="11" fontId="0" fillId="0" borderId="2" xfId="0" applyNumberFormat="1" applyFill="1" applyBorder="1"/>
    <xf numFmtId="0" fontId="0" fillId="0" borderId="2" xfId="0" applyFill="1" applyBorder="1"/>
    <xf numFmtId="0" fontId="2" fillId="0" borderId="7" xfId="0" applyFont="1" applyFill="1" applyBorder="1"/>
    <xf numFmtId="0" fontId="0" fillId="0" borderId="1" xfId="0" applyFill="1" applyBorder="1"/>
    <xf numFmtId="0" fontId="2" fillId="0" borderId="3" xfId="0" applyFont="1" applyFill="1" applyBorder="1"/>
    <xf numFmtId="0" fontId="0" fillId="0" borderId="7" xfId="0" applyFill="1" applyBorder="1"/>
    <xf numFmtId="0" fontId="0" fillId="0" borderId="9" xfId="0" applyBorder="1"/>
    <xf numFmtId="0" fontId="0" fillId="0" borderId="11" xfId="0" applyBorder="1"/>
    <xf numFmtId="0" fontId="0" fillId="0" borderId="0" xfId="0" applyBorder="1"/>
    <xf numFmtId="0" fontId="0" fillId="0" borderId="12" xfId="0" applyBorder="1"/>
    <xf numFmtId="0" fontId="0" fillId="0" borderId="11" xfId="0" applyFill="1" applyBorder="1"/>
    <xf numFmtId="0" fontId="0" fillId="0" borderId="0" xfId="0" applyFill="1" applyBorder="1"/>
    <xf numFmtId="0" fontId="0" fillId="0" borderId="12" xfId="0" applyFill="1" applyBorder="1"/>
    <xf numFmtId="11" fontId="0" fillId="0" borderId="0" xfId="0" applyNumberFormat="1" applyFill="1" applyBorder="1"/>
    <xf numFmtId="0" fontId="6" fillId="0" borderId="0" xfId="0" applyFont="1" applyFill="1" applyBorder="1"/>
    <xf numFmtId="0" fontId="2" fillId="0" borderId="1" xfId="0" applyFont="1" applyFill="1" applyBorder="1" applyAlignment="1">
      <alignment horizontal="left" vertical="center"/>
    </xf>
    <xf numFmtId="0" fontId="0" fillId="0" borderId="0" xfId="0" applyBorder="1" applyAlignment="1"/>
    <xf numFmtId="2" fontId="0" fillId="0" borderId="0" xfId="0" applyNumberFormat="1"/>
    <xf numFmtId="0" fontId="0" fillId="0" borderId="0" xfId="0" applyAlignment="1">
      <alignment horizontal="center"/>
    </xf>
    <xf numFmtId="165" fontId="0" fillId="0" borderId="0" xfId="0" applyNumberFormat="1"/>
    <xf numFmtId="164" fontId="0" fillId="0" borderId="6" xfId="0" applyNumberFormat="1" applyBorder="1"/>
    <xf numFmtId="166" fontId="0" fillId="0" borderId="0" xfId="0" applyNumberFormat="1"/>
    <xf numFmtId="166" fontId="0" fillId="0" borderId="0" xfId="0" applyNumberFormat="1" applyBorder="1"/>
    <xf numFmtId="0" fontId="0" fillId="0" borderId="3" xfId="0" applyBorder="1"/>
    <xf numFmtId="0" fontId="0" fillId="0" borderId="4" xfId="0" applyBorder="1"/>
    <xf numFmtId="165" fontId="0" fillId="0" borderId="4" xfId="0" applyNumberFormat="1" applyBorder="1"/>
    <xf numFmtId="0" fontId="0" fillId="0" borderId="3" xfId="0" applyFont="1" applyFill="1" applyBorder="1"/>
    <xf numFmtId="164" fontId="0" fillId="0" borderId="4" xfId="0" applyNumberFormat="1" applyBorder="1"/>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ill="1" applyBorder="1" applyAlignment="1">
      <alignment horizontal="center" vertical="center"/>
    </xf>
    <xf numFmtId="0" fontId="0" fillId="0" borderId="22" xfId="0" applyFill="1" applyBorder="1"/>
    <xf numFmtId="164" fontId="0" fillId="2" borderId="20" xfId="0" applyNumberFormat="1" applyFill="1" applyBorder="1" applyAlignment="1">
      <alignment horizontal="center" vertical="center"/>
    </xf>
    <xf numFmtId="0" fontId="0" fillId="0" borderId="0" xfId="0" applyFill="1" applyBorder="1" applyAlignment="1">
      <alignment wrapText="1"/>
    </xf>
    <xf numFmtId="0" fontId="0" fillId="0" borderId="0" xfId="0" applyAlignment="1">
      <alignment wrapText="1"/>
    </xf>
    <xf numFmtId="0" fontId="0" fillId="0" borderId="0" xfId="0" applyFill="1" applyBorder="1" applyAlignment="1"/>
    <xf numFmtId="0" fontId="0" fillId="0" borderId="0" xfId="0" applyAlignment="1"/>
    <xf numFmtId="0" fontId="0" fillId="0" borderId="0" xfId="0" quotePrefix="1"/>
    <xf numFmtId="0" fontId="0" fillId="0" borderId="0" xfId="0"/>
    <xf numFmtId="0" fontId="14" fillId="0" borderId="3" xfId="0" applyFont="1" applyBorder="1" applyAlignment="1">
      <alignment horizontal="center" vertical="center"/>
    </xf>
    <xf numFmtId="0" fontId="14" fillId="0" borderId="0" xfId="0" applyFont="1" applyBorder="1" applyAlignment="1">
      <alignment horizontal="center" vertical="center"/>
    </xf>
    <xf numFmtId="0" fontId="14" fillId="0" borderId="4" xfId="0" applyFont="1" applyBorder="1" applyAlignment="1">
      <alignment horizontal="center" vertical="center"/>
    </xf>
    <xf numFmtId="0" fontId="14" fillId="0" borderId="18" xfId="0" applyFont="1" applyBorder="1" applyAlignment="1">
      <alignment horizontal="center" vertical="center"/>
    </xf>
    <xf numFmtId="0" fontId="14" fillId="0" borderId="17" xfId="0" applyFont="1" applyBorder="1" applyAlignment="1">
      <alignment horizontal="center" vertical="center"/>
    </xf>
    <xf numFmtId="164" fontId="14" fillId="0" borderId="0" xfId="0" applyNumberFormat="1" applyFont="1" applyBorder="1" applyAlignment="1">
      <alignment horizontal="center" vertical="center"/>
    </xf>
    <xf numFmtId="164" fontId="14" fillId="0" borderId="19" xfId="0" applyNumberFormat="1" applyFont="1" applyBorder="1" applyAlignment="1">
      <alignment horizontal="center" vertical="center"/>
    </xf>
    <xf numFmtId="0" fontId="0" fillId="0" borderId="4" xfId="0" applyBorder="1"/>
    <xf numFmtId="0" fontId="0" fillId="0" borderId="3" xfId="0" applyFont="1" applyBorder="1" applyAlignment="1">
      <alignment horizontal="center" vertical="center"/>
    </xf>
    <xf numFmtId="0" fontId="0" fillId="0" borderId="3" xfId="0" applyFont="1" applyFill="1" applyBorder="1" applyAlignment="1">
      <alignment horizontal="center" vertical="center"/>
    </xf>
    <xf numFmtId="0" fontId="0" fillId="0" borderId="3" xfId="0" quotePrefix="1" applyFont="1" applyBorder="1" applyAlignment="1">
      <alignment horizontal="center" vertical="center"/>
    </xf>
    <xf numFmtId="0" fontId="0" fillId="0" borderId="3" xfId="0" applyFill="1" applyBorder="1" applyAlignment="1">
      <alignment horizontal="center" vertical="center"/>
    </xf>
    <xf numFmtId="0" fontId="0" fillId="0" borderId="18" xfId="0" applyFill="1" applyBorder="1" applyAlignment="1">
      <alignment horizontal="center" vertical="center"/>
    </xf>
    <xf numFmtId="0" fontId="0" fillId="0" borderId="0" xfId="0"/>
    <xf numFmtId="0" fontId="0" fillId="0" borderId="4" xfId="0" applyBorder="1"/>
    <xf numFmtId="166" fontId="0" fillId="0" borderId="19" xfId="0" applyNumberFormat="1" applyBorder="1"/>
    <xf numFmtId="169" fontId="0" fillId="0" borderId="4" xfId="0" applyNumberFormat="1" applyBorder="1"/>
    <xf numFmtId="166" fontId="0" fillId="0" borderId="4" xfId="0" applyNumberFormat="1" applyBorder="1"/>
    <xf numFmtId="164" fontId="0" fillId="0" borderId="4" xfId="0" applyNumberFormat="1" applyFill="1" applyBorder="1"/>
    <xf numFmtId="0" fontId="0" fillId="0" borderId="7" xfId="0" applyBorder="1" applyAlignment="1">
      <alignment horizontal="center" vertical="center"/>
    </xf>
    <xf numFmtId="0" fontId="0" fillId="0" borderId="0" xfId="0" applyAlignment="1">
      <alignment horizontal="center" vertical="center"/>
    </xf>
    <xf numFmtId="170" fontId="0" fillId="0" borderId="7" xfId="0" applyNumberFormat="1" applyFill="1" applyBorder="1"/>
    <xf numFmtId="0" fontId="0" fillId="0" borderId="0" xfId="0" applyAlignment="1">
      <alignment vertical="center" wrapText="1"/>
    </xf>
    <xf numFmtId="0" fontId="14" fillId="0" borderId="0" xfId="0" applyFont="1" applyFill="1" applyBorder="1" applyAlignment="1">
      <alignment horizontal="right" vertical="center"/>
    </xf>
    <xf numFmtId="2" fontId="0" fillId="0" borderId="4" xfId="0" applyNumberFormat="1" applyBorder="1"/>
    <xf numFmtId="0" fontId="0" fillId="0" borderId="24" xfId="0" applyBorder="1" applyAlignment="1"/>
    <xf numFmtId="0" fontId="0" fillId="0" borderId="18" xfId="0" applyBorder="1"/>
    <xf numFmtId="0" fontId="0" fillId="0" borderId="17" xfId="0" applyBorder="1"/>
    <xf numFmtId="0" fontId="0" fillId="0" borderId="19" xfId="0" applyBorder="1"/>
    <xf numFmtId="0" fontId="0" fillId="0" borderId="7" xfId="0" applyBorder="1"/>
    <xf numFmtId="0" fontId="0" fillId="0" borderId="4" xfId="0" applyBorder="1" applyAlignment="1"/>
    <xf numFmtId="0" fontId="9" fillId="0" borderId="0" xfId="0" applyFont="1" applyBorder="1" applyAlignment="1"/>
    <xf numFmtId="0" fontId="9" fillId="0" borderId="4" xfId="0" applyFont="1" applyBorder="1" applyAlignment="1"/>
    <xf numFmtId="0" fontId="0" fillId="0" borderId="3" xfId="0" applyBorder="1" applyAlignment="1">
      <alignment horizontal="center" vertical="center"/>
    </xf>
    <xf numFmtId="0" fontId="0" fillId="0" borderId="0" xfId="0" quotePrefix="1" applyBorder="1" applyAlignment="1">
      <alignment horizontal="center" vertical="center"/>
    </xf>
    <xf numFmtId="0" fontId="8" fillId="0" borderId="3" xfId="0" applyFont="1" applyBorder="1" applyAlignment="1">
      <alignment horizontal="center" vertical="center"/>
    </xf>
    <xf numFmtId="171" fontId="8" fillId="0" borderId="0" xfId="0" applyNumberFormat="1" applyFont="1" applyBorder="1" applyAlignment="1">
      <alignment horizontal="center" vertical="center"/>
    </xf>
    <xf numFmtId="166" fontId="8" fillId="0" borderId="0" xfId="0" applyNumberFormat="1" applyFont="1" applyBorder="1" applyAlignment="1">
      <alignment horizontal="center" vertical="center"/>
    </xf>
    <xf numFmtId="0" fontId="0" fillId="0" borderId="7" xfId="0" applyBorder="1" applyAlignment="1">
      <alignment horizontal="left"/>
    </xf>
    <xf numFmtId="11" fontId="0" fillId="0" borderId="7" xfId="0" applyNumberFormat="1" applyBorder="1"/>
    <xf numFmtId="0" fontId="7" fillId="0" borderId="4" xfId="0" applyFont="1" applyBorder="1" applyAlignment="1"/>
    <xf numFmtId="0" fontId="0" fillId="0" borderId="0" xfId="0" applyBorder="1" applyAlignment="1">
      <alignment vertical="center"/>
    </xf>
    <xf numFmtId="167" fontId="0" fillId="0" borderId="0" xfId="0" applyNumberFormat="1" applyAlignment="1">
      <alignment wrapText="1"/>
    </xf>
    <xf numFmtId="0" fontId="7" fillId="0" borderId="4" xfId="0" applyFont="1" applyBorder="1" applyAlignment="1">
      <alignment horizontal="left"/>
    </xf>
    <xf numFmtId="0" fontId="0" fillId="0" borderId="0" xfId="0" applyFill="1" applyAlignment="1"/>
    <xf numFmtId="0" fontId="0" fillId="0" borderId="7" xfId="0" applyBorder="1" applyAlignment="1">
      <alignment vertical="center" wrapText="1"/>
    </xf>
    <xf numFmtId="170" fontId="0" fillId="0" borderId="7" xfId="0" applyNumberFormat="1" applyBorder="1"/>
    <xf numFmtId="168" fontId="0" fillId="0" borderId="7" xfId="0" applyNumberFormat="1" applyBorder="1"/>
    <xf numFmtId="0" fontId="0" fillId="0" borderId="23" xfId="0" applyBorder="1" applyAlignment="1">
      <alignment horizontal="center" vertical="center"/>
    </xf>
    <xf numFmtId="0" fontId="2" fillId="0" borderId="22" xfId="0" applyFont="1" applyFill="1" applyBorder="1"/>
    <xf numFmtId="0" fontId="2" fillId="0" borderId="18" xfId="0" applyFont="1" applyFill="1" applyBorder="1"/>
    <xf numFmtId="168" fontId="0" fillId="2" borderId="26" xfId="0" applyNumberFormat="1" applyFill="1" applyBorder="1"/>
    <xf numFmtId="0" fontId="0" fillId="0" borderId="8" xfId="0" applyFill="1" applyBorder="1"/>
    <xf numFmtId="0" fontId="0" fillId="0" borderId="9" xfId="0" applyFill="1" applyBorder="1"/>
    <xf numFmtId="11" fontId="0" fillId="0" borderId="9" xfId="0" applyNumberFormat="1" applyFill="1" applyBorder="1"/>
    <xf numFmtId="0" fontId="0" fillId="0" borderId="10" xfId="0" applyFill="1" applyBorder="1"/>
    <xf numFmtId="0" fontId="0" fillId="0" borderId="12" xfId="0" applyBorder="1" applyAlignment="1">
      <alignment vertical="center"/>
    </xf>
    <xf numFmtId="0" fontId="0" fillId="0" borderId="14" xfId="0" applyBorder="1"/>
    <xf numFmtId="0" fontId="0" fillId="0" borderId="15" xfId="0" applyBorder="1"/>
    <xf numFmtId="0" fontId="0" fillId="0" borderId="16" xfId="0" applyBorder="1"/>
    <xf numFmtId="2" fontId="0" fillId="0" borderId="4" xfId="0" applyNumberFormat="1" applyFill="1" applyBorder="1"/>
    <xf numFmtId="169" fontId="0" fillId="2" borderId="0" xfId="0" applyNumberFormat="1" applyFill="1"/>
    <xf numFmtId="2" fontId="0" fillId="2" borderId="0" xfId="0" applyNumberFormat="1" applyFill="1"/>
    <xf numFmtId="164" fontId="10" fillId="0" borderId="4" xfId="0" applyNumberFormat="1" applyFont="1" applyFill="1" applyBorder="1"/>
    <xf numFmtId="0" fontId="0" fillId="0" borderId="0" xfId="0" applyFill="1" applyAlignment="1">
      <alignment horizontal="center" vertical="center"/>
    </xf>
    <xf numFmtId="0" fontId="0" fillId="4" borderId="8" xfId="0" applyFill="1" applyBorder="1"/>
    <xf numFmtId="0" fontId="0" fillId="4" borderId="9" xfId="0" applyFill="1" applyBorder="1"/>
    <xf numFmtId="0" fontId="6" fillId="4" borderId="9" xfId="0" applyFont="1" applyFill="1" applyBorder="1"/>
    <xf numFmtId="0" fontId="0" fillId="4" borderId="10" xfId="0" applyFill="1" applyBorder="1"/>
    <xf numFmtId="0" fontId="0" fillId="4" borderId="11" xfId="0" applyFill="1" applyBorder="1"/>
    <xf numFmtId="0" fontId="0" fillId="4" borderId="0" xfId="0" applyFill="1" applyBorder="1"/>
    <xf numFmtId="0" fontId="0" fillId="4" borderId="12" xfId="0" applyFill="1" applyBorder="1"/>
    <xf numFmtId="0" fontId="0" fillId="4" borderId="1" xfId="0" applyFill="1" applyBorder="1"/>
    <xf numFmtId="0" fontId="0" fillId="4" borderId="2" xfId="0" applyFill="1" applyBorder="1"/>
    <xf numFmtId="0" fontId="2" fillId="4" borderId="1" xfId="0" applyFont="1" applyFill="1" applyBorder="1" applyAlignment="1">
      <alignment horizontal="center" vertical="center"/>
    </xf>
    <xf numFmtId="11" fontId="0" fillId="4" borderId="2" xfId="0" applyNumberFormat="1" applyFill="1" applyBorder="1"/>
    <xf numFmtId="0" fontId="0" fillId="4" borderId="5" xfId="0" applyFill="1" applyBorder="1"/>
    <xf numFmtId="0" fontId="0" fillId="4" borderId="6" xfId="0" applyFill="1" applyBorder="1"/>
    <xf numFmtId="0" fontId="2" fillId="4" borderId="3" xfId="0" applyFont="1" applyFill="1" applyBorder="1"/>
    <xf numFmtId="11" fontId="0" fillId="4" borderId="4" xfId="0" applyNumberFormat="1" applyFill="1" applyBorder="1"/>
    <xf numFmtId="0" fontId="0" fillId="4" borderId="3" xfId="0" applyFill="1" applyBorder="1"/>
    <xf numFmtId="0" fontId="0" fillId="4" borderId="4" xfId="0" applyFill="1" applyBorder="1"/>
    <xf numFmtId="0" fontId="0" fillId="4" borderId="7" xfId="0" applyFill="1" applyBorder="1"/>
    <xf numFmtId="164" fontId="0" fillId="4" borderId="13" xfId="0" applyNumberFormat="1" applyFill="1" applyBorder="1"/>
    <xf numFmtId="0" fontId="6" fillId="4" borderId="4" xfId="0" applyFont="1" applyFill="1" applyBorder="1"/>
    <xf numFmtId="0" fontId="6" fillId="4" borderId="0" xfId="0" applyFont="1" applyFill="1" applyBorder="1"/>
    <xf numFmtId="0" fontId="2" fillId="4" borderId="7" xfId="0" applyFont="1" applyFill="1" applyBorder="1"/>
    <xf numFmtId="0" fontId="0" fillId="4" borderId="13" xfId="0" applyFill="1" applyBorder="1"/>
    <xf numFmtId="0" fontId="0" fillId="4" borderId="0" xfId="0" applyFill="1" applyBorder="1" applyAlignment="1">
      <alignment horizontal="right"/>
    </xf>
    <xf numFmtId="0" fontId="0" fillId="4" borderId="0" xfId="0" applyFill="1" applyBorder="1" applyAlignment="1">
      <alignment horizontal="center" vertical="center"/>
    </xf>
    <xf numFmtId="164" fontId="0" fillId="4" borderId="12" xfId="0" applyNumberFormat="1" applyFill="1" applyBorder="1" applyAlignment="1">
      <alignment horizontal="center" vertical="center"/>
    </xf>
    <xf numFmtId="0" fontId="0" fillId="4" borderId="12" xfId="0" applyFill="1" applyBorder="1" applyAlignment="1">
      <alignment horizontal="center" vertical="center"/>
    </xf>
    <xf numFmtId="11" fontId="0" fillId="4" borderId="6" xfId="0" applyNumberFormat="1" applyFill="1" applyBorder="1"/>
    <xf numFmtId="0" fontId="0" fillId="4" borderId="14" xfId="0" applyFill="1" applyBorder="1"/>
    <xf numFmtId="0" fontId="0" fillId="4" borderId="15" xfId="0" applyFill="1" applyBorder="1"/>
    <xf numFmtId="0" fontId="0" fillId="4" borderId="16" xfId="0" applyFill="1" applyBorder="1"/>
    <xf numFmtId="0" fontId="19" fillId="4" borderId="1" xfId="0" applyFont="1" applyFill="1" applyBorder="1" applyAlignment="1">
      <alignment vertical="center"/>
    </xf>
    <xf numFmtId="0" fontId="14" fillId="4" borderId="24" xfId="0" applyFont="1" applyFill="1" applyBorder="1" applyAlignment="1">
      <alignment vertical="center"/>
    </xf>
    <xf numFmtId="0" fontId="14" fillId="4" borderId="2" xfId="0" applyFont="1" applyFill="1" applyBorder="1" applyAlignment="1">
      <alignment vertical="center"/>
    </xf>
    <xf numFmtId="0" fontId="14" fillId="4" borderId="3" xfId="0" applyFont="1" applyFill="1" applyBorder="1" applyAlignment="1">
      <alignment horizontal="center" vertical="center"/>
    </xf>
    <xf numFmtId="0" fontId="14" fillId="4" borderId="0"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18"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19" xfId="0" applyFont="1" applyFill="1" applyBorder="1" applyAlignment="1">
      <alignment horizontal="center" vertical="center"/>
    </xf>
    <xf numFmtId="14" fontId="0" fillId="0" borderId="7" xfId="0" applyNumberFormat="1" applyFill="1" applyBorder="1" applyAlignment="1">
      <alignment horizontal="center"/>
    </xf>
    <xf numFmtId="14" fontId="0" fillId="0" borderId="7" xfId="0" applyNumberFormat="1" applyFill="1" applyBorder="1" applyAlignment="1">
      <alignment horizontal="center" vertical="center"/>
    </xf>
    <xf numFmtId="169" fontId="0" fillId="0" borderId="0" xfId="0" applyNumberFormat="1" applyFill="1"/>
    <xf numFmtId="0" fontId="8" fillId="0" borderId="0" xfId="0" applyFont="1" applyFill="1"/>
    <xf numFmtId="0" fontId="8" fillId="2" borderId="0" xfId="0" applyFont="1" applyFill="1" applyAlignment="1">
      <alignment horizontal="center" vertical="center"/>
    </xf>
    <xf numFmtId="0" fontId="8" fillId="3" borderId="0" xfId="0" applyFont="1" applyFill="1" applyAlignment="1">
      <alignment horizontal="center" vertical="center"/>
    </xf>
    <xf numFmtId="0" fontId="8" fillId="4" borderId="0" xfId="0" applyFont="1" applyFill="1" applyAlignment="1">
      <alignment horizontal="center" vertical="center"/>
    </xf>
    <xf numFmtId="0" fontId="0" fillId="0" borderId="23" xfId="0" applyFill="1" applyBorder="1" applyAlignment="1">
      <alignment horizontal="center" vertical="center"/>
    </xf>
    <xf numFmtId="0" fontId="2" fillId="0" borderId="23" xfId="0" applyFont="1" applyFill="1" applyBorder="1" applyAlignment="1">
      <alignment horizontal="center" vertical="center"/>
    </xf>
    <xf numFmtId="14" fontId="0" fillId="0" borderId="27" xfId="0" applyNumberFormat="1" applyFill="1" applyBorder="1" applyAlignment="1">
      <alignment horizontal="center"/>
    </xf>
    <xf numFmtId="0" fontId="0" fillId="0" borderId="19" xfId="0" applyFill="1" applyBorder="1" applyAlignment="1">
      <alignment horizontal="center" vertical="center"/>
    </xf>
    <xf numFmtId="14" fontId="0" fillId="0" borderId="15" xfId="0" applyNumberFormat="1" applyFill="1" applyBorder="1" applyAlignment="1">
      <alignment horizontal="center" vertical="center"/>
    </xf>
    <xf numFmtId="0" fontId="0" fillId="0" borderId="15" xfId="0" applyFill="1" applyBorder="1" applyAlignment="1">
      <alignment horizontal="center" vertical="center"/>
    </xf>
    <xf numFmtId="165" fontId="0" fillId="0" borderId="0" xfId="0" applyNumberFormat="1" applyBorder="1"/>
    <xf numFmtId="0" fontId="0" fillId="0" borderId="0" xfId="0" applyAlignment="1">
      <alignment horizontal="right"/>
    </xf>
    <xf numFmtId="169" fontId="0" fillId="0" borderId="0" xfId="0" applyNumberFormat="1" applyAlignment="1">
      <alignment horizontal="center" vertical="center"/>
    </xf>
    <xf numFmtId="0" fontId="0" fillId="0" borderId="0" xfId="0" applyFill="1" applyAlignment="1">
      <alignment horizontal="left"/>
    </xf>
    <xf numFmtId="0" fontId="0" fillId="0" borderId="0" xfId="0" applyBorder="1" applyAlignment="1">
      <alignment horizontal="left" vertical="center"/>
    </xf>
    <xf numFmtId="0" fontId="0" fillId="0" borderId="17" xfId="0" applyBorder="1" applyAlignment="1">
      <alignment horizontal="center"/>
    </xf>
    <xf numFmtId="0" fontId="0" fillId="0" borderId="17" xfId="0" applyFill="1" applyBorder="1" applyAlignment="1">
      <alignment horizontal="center"/>
    </xf>
    <xf numFmtId="0" fontId="0" fillId="0" borderId="21" xfId="0" applyBorder="1" applyAlignment="1">
      <alignment horizontal="center"/>
    </xf>
    <xf numFmtId="0" fontId="0" fillId="0" borderId="25" xfId="0" applyBorder="1" applyAlignment="1">
      <alignment horizontal="center"/>
    </xf>
    <xf numFmtId="0" fontId="0" fillId="0" borderId="21" xfId="0" applyFill="1" applyBorder="1" applyAlignment="1">
      <alignment horizontal="center"/>
    </xf>
    <xf numFmtId="0" fontId="0" fillId="0" borderId="25" xfId="0" applyFill="1" applyBorder="1" applyAlignment="1">
      <alignment horizontal="center"/>
    </xf>
    <xf numFmtId="14" fontId="0" fillId="0" borderId="15" xfId="0" applyNumberForma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0" fillId="0" borderId="18" xfId="0" applyFill="1" applyBorder="1" applyAlignment="1">
      <alignment horizontal="center"/>
    </xf>
    <xf numFmtId="0" fontId="2" fillId="0" borderId="21" xfId="0" applyFont="1" applyFill="1" applyBorder="1" applyAlignment="1">
      <alignment horizontal="center"/>
    </xf>
    <xf numFmtId="0" fontId="2" fillId="0" borderId="25" xfId="0" applyFont="1" applyFill="1" applyBorder="1" applyAlignment="1">
      <alignment horizontal="center"/>
    </xf>
    <xf numFmtId="0" fontId="14" fillId="0" borderId="1" xfId="0" applyFont="1" applyBorder="1" applyAlignment="1">
      <alignment horizontal="center" vertical="center"/>
    </xf>
    <xf numFmtId="0" fontId="14" fillId="0" borderId="24" xfId="0" applyFont="1" applyBorder="1" applyAlignment="1">
      <alignment horizontal="center" vertical="center"/>
    </xf>
    <xf numFmtId="0" fontId="14" fillId="0" borderId="2" xfId="0" applyFont="1" applyBorder="1" applyAlignment="1">
      <alignment horizontal="center" vertical="center"/>
    </xf>
    <xf numFmtId="0" fontId="7" fillId="0" borderId="4" xfId="0" applyFont="1" applyBorder="1" applyAlignment="1">
      <alignment horizontal="center" wrapText="1"/>
    </xf>
    <xf numFmtId="0" fontId="0" fillId="0" borderId="3" xfId="0" applyBorder="1" applyAlignment="1">
      <alignment horizontal="center"/>
    </xf>
    <xf numFmtId="0" fontId="0" fillId="0" borderId="0" xfId="0" applyBorder="1" applyAlignment="1">
      <alignment horizontal="center"/>
    </xf>
    <xf numFmtId="0" fontId="9" fillId="0" borderId="24" xfId="0" applyFont="1" applyBorder="1" applyAlignment="1">
      <alignment horizontal="center"/>
    </xf>
    <xf numFmtId="0" fontId="0" fillId="0" borderId="4" xfId="0" applyBorder="1" applyAlignment="1">
      <alignment horizont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7" xfId="0" applyFill="1" applyBorder="1" applyAlignment="1">
      <alignment horizontal="center" vertical="center"/>
    </xf>
    <xf numFmtId="0" fontId="0" fillId="0" borderId="7" xfId="0" applyBorder="1" applyAlignment="1">
      <alignment horizontal="center"/>
    </xf>
    <xf numFmtId="0" fontId="0" fillId="0" borderId="23" xfId="0" applyBorder="1"/>
    <xf numFmtId="0" fontId="0" fillId="0" borderId="22" xfId="0" applyFill="1" applyBorder="1" applyAlignment="1">
      <alignment horizontal="center" vertical="center"/>
    </xf>
    <xf numFmtId="0" fontId="0" fillId="0" borderId="2" xfId="0" applyBorder="1"/>
    <xf numFmtId="0" fontId="0" fillId="0" borderId="24" xfId="0" applyBorder="1"/>
    <xf numFmtId="0" fontId="0" fillId="0" borderId="7" xfId="0" applyFill="1" applyBorder="1" applyAlignment="1">
      <alignment horizontal="center" vertical="center" wrapText="1"/>
    </xf>
    <xf numFmtId="11" fontId="0" fillId="0" borderId="21" xfId="0" applyNumberFormat="1" applyFill="1" applyBorder="1" applyAlignment="1"/>
    <xf numFmtId="11" fontId="0" fillId="0" borderId="1" xfId="0" applyNumberFormat="1" applyFill="1" applyBorder="1" applyAlignment="1"/>
    <xf numFmtId="0" fontId="0" fillId="0" borderId="28" xfId="0" applyBorder="1" applyAlignment="1">
      <alignment horizontal="left" vertical="center"/>
    </xf>
    <xf numFmtId="2" fontId="0" fillId="0" borderId="29" xfId="0" applyNumberFormat="1" applyBorder="1" applyAlignment="1">
      <alignment horizontal="right" vertical="center"/>
    </xf>
  </cellXfs>
  <cellStyles count="1">
    <cellStyle name="Normal" xfId="0" builtinId="0"/>
  </cellStyles>
  <dxfs count="0"/>
  <tableStyles count="0" defaultTableStyle="TableStyleMedium9" defaultPivotStyle="PivotStyleLight16"/>
  <colors>
    <mruColors>
      <color rgb="FFFF9F9F"/>
      <color rgb="FFFF1D1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92268408309444"/>
          <c:y val="5.1400554097404488E-2"/>
          <c:w val="0.8038499257360272"/>
          <c:h val="0.84579833770778756"/>
        </c:manualLayout>
      </c:layout>
      <c:scatterChart>
        <c:scatterStyle val="smoothMarker"/>
        <c:varyColors val="0"/>
        <c:ser>
          <c:idx val="0"/>
          <c:order val="0"/>
          <c:tx>
            <c:v>+B</c:v>
          </c:tx>
          <c:marker>
            <c:symbol val="none"/>
          </c:marker>
          <c:xVal>
            <c:numRef>
              <c:f>'hysteresis data from vendors'!$C$22:$C$62</c:f>
              <c:numCache>
                <c:formatCode>General</c:formatCode>
                <c:ptCount val="41"/>
                <c:pt idx="0">
                  <c:v>-0.2</c:v>
                </c:pt>
                <c:pt idx="1">
                  <c:v>-0.19</c:v>
                </c:pt>
                <c:pt idx="2">
                  <c:v>-0.18</c:v>
                </c:pt>
                <c:pt idx="3">
                  <c:v>-0.16999999999999998</c:v>
                </c:pt>
                <c:pt idx="4">
                  <c:v>-0.15999999999999998</c:v>
                </c:pt>
                <c:pt idx="5">
                  <c:v>-0.14999999999999997</c:v>
                </c:pt>
                <c:pt idx="6">
                  <c:v>-0.13999999999999996</c:v>
                </c:pt>
                <c:pt idx="7">
                  <c:v>-0.12999999999999995</c:v>
                </c:pt>
                <c:pt idx="8">
                  <c:v>-0.11999999999999995</c:v>
                </c:pt>
                <c:pt idx="9">
                  <c:v>-0.10999999999999996</c:v>
                </c:pt>
                <c:pt idx="10">
                  <c:v>-9.9999999999999964E-2</c:v>
                </c:pt>
                <c:pt idx="11">
                  <c:v>-8.9999999999999969E-2</c:v>
                </c:pt>
                <c:pt idx="12">
                  <c:v>-7.9999999999999974E-2</c:v>
                </c:pt>
                <c:pt idx="13">
                  <c:v>-6.9999999999999979E-2</c:v>
                </c:pt>
                <c:pt idx="14">
                  <c:v>-5.9999999999999977E-2</c:v>
                </c:pt>
                <c:pt idx="15">
                  <c:v>-4.9999999999999975E-2</c:v>
                </c:pt>
                <c:pt idx="16">
                  <c:v>-3.9999999999999973E-2</c:v>
                </c:pt>
                <c:pt idx="17">
                  <c:v>-2.9999999999999971E-2</c:v>
                </c:pt>
                <c:pt idx="18">
                  <c:v>-1.9999999999999969E-2</c:v>
                </c:pt>
                <c:pt idx="19">
                  <c:v>-9.999999999999969E-3</c:v>
                </c:pt>
                <c:pt idx="20">
                  <c:v>3.1225022567582528E-17</c:v>
                </c:pt>
                <c:pt idx="21">
                  <c:v>1.0000000000000031E-2</c:v>
                </c:pt>
                <c:pt idx="22">
                  <c:v>2.0000000000000032E-2</c:v>
                </c:pt>
                <c:pt idx="23">
                  <c:v>3.0000000000000034E-2</c:v>
                </c:pt>
                <c:pt idx="24">
                  <c:v>4.0000000000000036E-2</c:v>
                </c:pt>
                <c:pt idx="25">
                  <c:v>5.0000000000000037E-2</c:v>
                </c:pt>
                <c:pt idx="26">
                  <c:v>6.0000000000000039E-2</c:v>
                </c:pt>
                <c:pt idx="27">
                  <c:v>7.0000000000000034E-2</c:v>
                </c:pt>
                <c:pt idx="28">
                  <c:v>8.0000000000000029E-2</c:v>
                </c:pt>
                <c:pt idx="29">
                  <c:v>9.0000000000000024E-2</c:v>
                </c:pt>
                <c:pt idx="30">
                  <c:v>0.10000000000000002</c:v>
                </c:pt>
                <c:pt idx="31">
                  <c:v>0.11000000000000001</c:v>
                </c:pt>
                <c:pt idx="32">
                  <c:v>0.12000000000000001</c:v>
                </c:pt>
                <c:pt idx="33">
                  <c:v>0.13</c:v>
                </c:pt>
                <c:pt idx="34">
                  <c:v>0.14000000000000001</c:v>
                </c:pt>
                <c:pt idx="35">
                  <c:v>0.15000000000000002</c:v>
                </c:pt>
                <c:pt idx="36">
                  <c:v>0.16000000000000003</c:v>
                </c:pt>
                <c:pt idx="37">
                  <c:v>0.17000000000000004</c:v>
                </c:pt>
                <c:pt idx="38">
                  <c:v>0.18000000000000005</c:v>
                </c:pt>
                <c:pt idx="39">
                  <c:v>0.19000000000000006</c:v>
                </c:pt>
                <c:pt idx="40">
                  <c:v>0.20000000000000007</c:v>
                </c:pt>
              </c:numCache>
            </c:numRef>
          </c:xVal>
          <c:yVal>
            <c:numRef>
              <c:f>'hysteresis data from vendors'!$D$22:$D$62</c:f>
              <c:numCache>
                <c:formatCode>0.0</c:formatCode>
                <c:ptCount val="41"/>
                <c:pt idx="0">
                  <c:v>-7005.6266364943003</c:v>
                </c:pt>
                <c:pt idx="1">
                  <c:v>-6977.2186291019325</c:v>
                </c:pt>
                <c:pt idx="2">
                  <c:v>-6945.433738711984</c:v>
                </c:pt>
                <c:pt idx="3">
                  <c:v>-6909.6306221711939</c:v>
                </c:pt>
                <c:pt idx="4">
                  <c:v>-6868.9955984421867</c:v>
                </c:pt>
                <c:pt idx="5">
                  <c:v>-6822.4810287875607</c:v>
                </c:pt>
                <c:pt idx="6">
                  <c:v>-6768.7154617534134</c:v>
                </c:pt>
                <c:pt idx="7">
                  <c:v>-6705.8693695057782</c:v>
                </c:pt>
                <c:pt idx="8">
                  <c:v>-6631.448920861737</c:v>
                </c:pt>
                <c:pt idx="9">
                  <c:v>-6541.9691445346543</c:v>
                </c:pt>
                <c:pt idx="10">
                  <c:v>-6432.4171017128565</c:v>
                </c:pt>
                <c:pt idx="11">
                  <c:v>-6295.3333574481485</c:v>
                </c:pt>
                <c:pt idx="12">
                  <c:v>-6119.1652920668921</c:v>
                </c:pt>
                <c:pt idx="13">
                  <c:v>-5885.1560922187555</c:v>
                </c:pt>
                <c:pt idx="14">
                  <c:v>-5561.1288763242064</c:v>
                </c:pt>
                <c:pt idx="15">
                  <c:v>-5088.4373339091208</c:v>
                </c:pt>
                <c:pt idx="16">
                  <c:v>-4354.5019232825689</c:v>
                </c:pt>
                <c:pt idx="17">
                  <c:v>-3147.8576251958693</c:v>
                </c:pt>
                <c:pt idx="18">
                  <c:v>-1206.9567890333826</c:v>
                </c:pt>
                <c:pt idx="19">
                  <c:v>1206.9567890333969</c:v>
                </c:pt>
                <c:pt idx="20">
                  <c:v>3147.8576251958784</c:v>
                </c:pt>
                <c:pt idx="21">
                  <c:v>4354.5019232825744</c:v>
                </c:pt>
                <c:pt idx="22">
                  <c:v>5088.4373339091235</c:v>
                </c:pt>
                <c:pt idx="23">
                  <c:v>5561.1288763242082</c:v>
                </c:pt>
                <c:pt idx="24">
                  <c:v>5885.1560922187582</c:v>
                </c:pt>
                <c:pt idx="25">
                  <c:v>6119.165292066893</c:v>
                </c:pt>
                <c:pt idx="26">
                  <c:v>6295.3333574481494</c:v>
                </c:pt>
                <c:pt idx="27">
                  <c:v>6432.4171017128574</c:v>
                </c:pt>
                <c:pt idx="28">
                  <c:v>6541.9691445346552</c:v>
                </c:pt>
                <c:pt idx="29">
                  <c:v>6631.4489208617379</c:v>
                </c:pt>
                <c:pt idx="30">
                  <c:v>6705.86936950578</c:v>
                </c:pt>
                <c:pt idx="31">
                  <c:v>6768.7154617534134</c:v>
                </c:pt>
                <c:pt idx="32">
                  <c:v>6822.4810287875616</c:v>
                </c:pt>
                <c:pt idx="33">
                  <c:v>6868.9955984421867</c:v>
                </c:pt>
                <c:pt idx="34">
                  <c:v>6909.6306221711948</c:v>
                </c:pt>
                <c:pt idx="35">
                  <c:v>6945.433738711984</c:v>
                </c:pt>
                <c:pt idx="36">
                  <c:v>6977.2186291019325</c:v>
                </c:pt>
                <c:pt idx="37">
                  <c:v>7005.6266364943003</c:v>
                </c:pt>
                <c:pt idx="38">
                  <c:v>7031.1699504575408</c:v>
                </c:pt>
                <c:pt idx="39">
                  <c:v>7054.2624648050651</c:v>
                </c:pt>
                <c:pt idx="40">
                  <c:v>7075.2422158270283</c:v>
                </c:pt>
              </c:numCache>
            </c:numRef>
          </c:yVal>
          <c:smooth val="1"/>
        </c:ser>
        <c:ser>
          <c:idx val="1"/>
          <c:order val="1"/>
          <c:tx>
            <c:v>-B</c:v>
          </c:tx>
          <c:marker>
            <c:symbol val="none"/>
          </c:marker>
          <c:xVal>
            <c:numRef>
              <c:f>'hysteresis data from vendors'!$C$22:$C$62</c:f>
              <c:numCache>
                <c:formatCode>General</c:formatCode>
                <c:ptCount val="41"/>
                <c:pt idx="0">
                  <c:v>-0.2</c:v>
                </c:pt>
                <c:pt idx="1">
                  <c:v>-0.19</c:v>
                </c:pt>
                <c:pt idx="2">
                  <c:v>-0.18</c:v>
                </c:pt>
                <c:pt idx="3">
                  <c:v>-0.16999999999999998</c:v>
                </c:pt>
                <c:pt idx="4">
                  <c:v>-0.15999999999999998</c:v>
                </c:pt>
                <c:pt idx="5">
                  <c:v>-0.14999999999999997</c:v>
                </c:pt>
                <c:pt idx="6">
                  <c:v>-0.13999999999999996</c:v>
                </c:pt>
                <c:pt idx="7">
                  <c:v>-0.12999999999999995</c:v>
                </c:pt>
                <c:pt idx="8">
                  <c:v>-0.11999999999999995</c:v>
                </c:pt>
                <c:pt idx="9">
                  <c:v>-0.10999999999999996</c:v>
                </c:pt>
                <c:pt idx="10">
                  <c:v>-9.9999999999999964E-2</c:v>
                </c:pt>
                <c:pt idx="11">
                  <c:v>-8.9999999999999969E-2</c:v>
                </c:pt>
                <c:pt idx="12">
                  <c:v>-7.9999999999999974E-2</c:v>
                </c:pt>
                <c:pt idx="13">
                  <c:v>-6.9999999999999979E-2</c:v>
                </c:pt>
                <c:pt idx="14">
                  <c:v>-5.9999999999999977E-2</c:v>
                </c:pt>
                <c:pt idx="15">
                  <c:v>-4.9999999999999975E-2</c:v>
                </c:pt>
                <c:pt idx="16">
                  <c:v>-3.9999999999999973E-2</c:v>
                </c:pt>
                <c:pt idx="17">
                  <c:v>-2.9999999999999971E-2</c:v>
                </c:pt>
                <c:pt idx="18">
                  <c:v>-1.9999999999999969E-2</c:v>
                </c:pt>
                <c:pt idx="19">
                  <c:v>-9.999999999999969E-3</c:v>
                </c:pt>
                <c:pt idx="20">
                  <c:v>3.1225022567582528E-17</c:v>
                </c:pt>
                <c:pt idx="21">
                  <c:v>1.0000000000000031E-2</c:v>
                </c:pt>
                <c:pt idx="22">
                  <c:v>2.0000000000000032E-2</c:v>
                </c:pt>
                <c:pt idx="23">
                  <c:v>3.0000000000000034E-2</c:v>
                </c:pt>
                <c:pt idx="24">
                  <c:v>4.0000000000000036E-2</c:v>
                </c:pt>
                <c:pt idx="25">
                  <c:v>5.0000000000000037E-2</c:v>
                </c:pt>
                <c:pt idx="26">
                  <c:v>6.0000000000000039E-2</c:v>
                </c:pt>
                <c:pt idx="27">
                  <c:v>7.0000000000000034E-2</c:v>
                </c:pt>
                <c:pt idx="28">
                  <c:v>8.0000000000000029E-2</c:v>
                </c:pt>
                <c:pt idx="29">
                  <c:v>9.0000000000000024E-2</c:v>
                </c:pt>
                <c:pt idx="30">
                  <c:v>0.10000000000000002</c:v>
                </c:pt>
                <c:pt idx="31">
                  <c:v>0.11000000000000001</c:v>
                </c:pt>
                <c:pt idx="32">
                  <c:v>0.12000000000000001</c:v>
                </c:pt>
                <c:pt idx="33">
                  <c:v>0.13</c:v>
                </c:pt>
                <c:pt idx="34">
                  <c:v>0.14000000000000001</c:v>
                </c:pt>
                <c:pt idx="35">
                  <c:v>0.15000000000000002</c:v>
                </c:pt>
                <c:pt idx="36">
                  <c:v>0.16000000000000003</c:v>
                </c:pt>
                <c:pt idx="37">
                  <c:v>0.17000000000000004</c:v>
                </c:pt>
                <c:pt idx="38">
                  <c:v>0.18000000000000005</c:v>
                </c:pt>
                <c:pt idx="39">
                  <c:v>0.19000000000000006</c:v>
                </c:pt>
                <c:pt idx="40">
                  <c:v>0.20000000000000007</c:v>
                </c:pt>
              </c:numCache>
            </c:numRef>
          </c:xVal>
          <c:yVal>
            <c:numRef>
              <c:f>'hysteresis data from vendors'!$E$22:$E$62</c:f>
              <c:numCache>
                <c:formatCode>0.0</c:formatCode>
                <c:ptCount val="41"/>
                <c:pt idx="0">
                  <c:v>-7075.2422158270283</c:v>
                </c:pt>
                <c:pt idx="1">
                  <c:v>-7054.2624648050651</c:v>
                </c:pt>
                <c:pt idx="2">
                  <c:v>-7031.1699504575408</c:v>
                </c:pt>
                <c:pt idx="3">
                  <c:v>-7005.6266364943003</c:v>
                </c:pt>
                <c:pt idx="4">
                  <c:v>-6977.2186291019325</c:v>
                </c:pt>
                <c:pt idx="5">
                  <c:v>-6945.433738711984</c:v>
                </c:pt>
                <c:pt idx="6">
                  <c:v>-6909.6306221711939</c:v>
                </c:pt>
                <c:pt idx="7">
                  <c:v>-6868.9955984421867</c:v>
                </c:pt>
                <c:pt idx="8">
                  <c:v>-6822.4810287875607</c:v>
                </c:pt>
                <c:pt idx="9">
                  <c:v>-6768.7154617534134</c:v>
                </c:pt>
                <c:pt idx="10">
                  <c:v>-6705.8693695057782</c:v>
                </c:pt>
                <c:pt idx="11">
                  <c:v>-6631.448920861737</c:v>
                </c:pt>
                <c:pt idx="12">
                  <c:v>-6541.9691445346552</c:v>
                </c:pt>
                <c:pt idx="13">
                  <c:v>-6432.4171017128565</c:v>
                </c:pt>
                <c:pt idx="14">
                  <c:v>-6295.3333574481494</c:v>
                </c:pt>
                <c:pt idx="15">
                  <c:v>-6119.1652920668921</c:v>
                </c:pt>
                <c:pt idx="16">
                  <c:v>-5885.1560922187555</c:v>
                </c:pt>
                <c:pt idx="17">
                  <c:v>-5561.1288763242064</c:v>
                </c:pt>
                <c:pt idx="18">
                  <c:v>-5088.4373339091189</c:v>
                </c:pt>
                <c:pt idx="19">
                  <c:v>-4354.5019232825689</c:v>
                </c:pt>
                <c:pt idx="20">
                  <c:v>-3147.8576251958684</c:v>
                </c:pt>
                <c:pt idx="21">
                  <c:v>-1206.9567890333822</c:v>
                </c:pt>
                <c:pt idx="22">
                  <c:v>1206.9567890333972</c:v>
                </c:pt>
                <c:pt idx="23">
                  <c:v>3147.8576251958784</c:v>
                </c:pt>
                <c:pt idx="24">
                  <c:v>4354.5019232825753</c:v>
                </c:pt>
                <c:pt idx="25">
                  <c:v>5088.4373339091235</c:v>
                </c:pt>
                <c:pt idx="26">
                  <c:v>5561.1288763242082</c:v>
                </c:pt>
                <c:pt idx="27">
                  <c:v>5885.1560922187582</c:v>
                </c:pt>
                <c:pt idx="28">
                  <c:v>6119.165292066893</c:v>
                </c:pt>
                <c:pt idx="29">
                  <c:v>6295.3333574481494</c:v>
                </c:pt>
                <c:pt idx="30">
                  <c:v>6432.4171017128574</c:v>
                </c:pt>
                <c:pt idx="31">
                  <c:v>6541.9691445346552</c:v>
                </c:pt>
                <c:pt idx="32">
                  <c:v>6631.4489208617379</c:v>
                </c:pt>
                <c:pt idx="33">
                  <c:v>6705.86936950578</c:v>
                </c:pt>
                <c:pt idx="34">
                  <c:v>6768.7154617534134</c:v>
                </c:pt>
                <c:pt idx="35">
                  <c:v>6822.4810287875616</c:v>
                </c:pt>
                <c:pt idx="36">
                  <c:v>6868.9955984421867</c:v>
                </c:pt>
                <c:pt idx="37">
                  <c:v>6909.6306221711948</c:v>
                </c:pt>
                <c:pt idx="38">
                  <c:v>6945.433738711984</c:v>
                </c:pt>
                <c:pt idx="39">
                  <c:v>6977.2186291019325</c:v>
                </c:pt>
                <c:pt idx="40">
                  <c:v>7005.6266364943003</c:v>
                </c:pt>
              </c:numCache>
            </c:numRef>
          </c:yVal>
          <c:smooth val="1"/>
        </c:ser>
        <c:dLbls>
          <c:showLegendKey val="0"/>
          <c:showVal val="0"/>
          <c:showCatName val="0"/>
          <c:showSerName val="0"/>
          <c:showPercent val="0"/>
          <c:showBubbleSize val="0"/>
        </c:dLbls>
        <c:axId val="37311232"/>
        <c:axId val="37313152"/>
      </c:scatterChart>
      <c:valAx>
        <c:axId val="37311232"/>
        <c:scaling>
          <c:orientation val="minMax"/>
          <c:max val="0.2"/>
          <c:min val="-0.2"/>
        </c:scaling>
        <c:delete val="0"/>
        <c:axPos val="b"/>
        <c:title>
          <c:tx>
            <c:rich>
              <a:bodyPr/>
              <a:lstStyle/>
              <a:p>
                <a:pPr>
                  <a:defRPr/>
                </a:pPr>
                <a:r>
                  <a:rPr lang="en-US"/>
                  <a:t>H (Oersted)</a:t>
                </a:r>
              </a:p>
            </c:rich>
          </c:tx>
          <c:layout>
            <c:manualLayout>
              <c:xMode val="edge"/>
              <c:yMode val="edge"/>
              <c:x val="0.35903110948340761"/>
              <c:y val="0.92497666958296776"/>
            </c:manualLayout>
          </c:layout>
          <c:overlay val="0"/>
        </c:title>
        <c:numFmt formatCode="General" sourceLinked="1"/>
        <c:majorTickMark val="none"/>
        <c:minorTickMark val="none"/>
        <c:tickLblPos val="nextTo"/>
        <c:crossAx val="37313152"/>
        <c:crosses val="autoZero"/>
        <c:crossBetween val="midCat"/>
      </c:valAx>
      <c:valAx>
        <c:axId val="37313152"/>
        <c:scaling>
          <c:orientation val="minMax"/>
        </c:scaling>
        <c:delete val="0"/>
        <c:axPos val="l"/>
        <c:majorGridlines/>
        <c:title>
          <c:tx>
            <c:rich>
              <a:bodyPr/>
              <a:lstStyle/>
              <a:p>
                <a:pPr>
                  <a:defRPr/>
                </a:pPr>
                <a:r>
                  <a:rPr lang="en-US"/>
                  <a:t>B (Gauss)</a:t>
                </a:r>
              </a:p>
            </c:rich>
          </c:tx>
          <c:layout>
            <c:manualLayout>
              <c:xMode val="edge"/>
              <c:yMode val="edge"/>
              <c:x val="5.1679586563307426E-3"/>
              <c:y val="0.38924176144648587"/>
            </c:manualLayout>
          </c:layout>
          <c:overlay val="0"/>
        </c:title>
        <c:numFmt formatCode="0.0" sourceLinked="1"/>
        <c:majorTickMark val="none"/>
        <c:minorTickMark val="none"/>
        <c:tickLblPos val="nextTo"/>
        <c:crossAx val="37311232"/>
        <c:crosses val="autoZero"/>
        <c:crossBetween val="midCat"/>
      </c:valAx>
    </c:plotArea>
    <c:legend>
      <c:legendPos val="r"/>
      <c:layout>
        <c:manualLayout>
          <c:xMode val="edge"/>
          <c:yMode val="edge"/>
          <c:x val="0.71359173126614994"/>
          <c:y val="0.26813466025080251"/>
          <c:w val="0.2088888888888889"/>
          <c:h val="0.13502697579469233"/>
        </c:manualLayout>
      </c:layout>
      <c:overlay val="0"/>
      <c:spPr>
        <a:solidFill>
          <a:schemeClr val="bg1"/>
        </a:solidFill>
        <a:ln>
          <a:noFill/>
        </a:ln>
      </c:sp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5219673627753"/>
          <c:y val="5.6030183727034118E-2"/>
          <c:w val="0.77417368481113769"/>
          <c:h val="0.84579833770778756"/>
        </c:manualLayout>
      </c:layout>
      <c:scatterChart>
        <c:scatterStyle val="smoothMarker"/>
        <c:varyColors val="0"/>
        <c:ser>
          <c:idx val="0"/>
          <c:order val="0"/>
          <c:tx>
            <c:v>+B</c:v>
          </c:tx>
          <c:marker>
            <c:symbol val="none"/>
          </c:marker>
          <c:xVal>
            <c:numRef>
              <c:f>'hysteresis data from vendors'!$C$22:$C$62</c:f>
              <c:numCache>
                <c:formatCode>General</c:formatCode>
                <c:ptCount val="41"/>
                <c:pt idx="0">
                  <c:v>-0.2</c:v>
                </c:pt>
                <c:pt idx="1">
                  <c:v>-0.19</c:v>
                </c:pt>
                <c:pt idx="2">
                  <c:v>-0.18</c:v>
                </c:pt>
                <c:pt idx="3">
                  <c:v>-0.16999999999999998</c:v>
                </c:pt>
                <c:pt idx="4">
                  <c:v>-0.15999999999999998</c:v>
                </c:pt>
                <c:pt idx="5">
                  <c:v>-0.14999999999999997</c:v>
                </c:pt>
                <c:pt idx="6">
                  <c:v>-0.13999999999999996</c:v>
                </c:pt>
                <c:pt idx="7">
                  <c:v>-0.12999999999999995</c:v>
                </c:pt>
                <c:pt idx="8">
                  <c:v>-0.11999999999999995</c:v>
                </c:pt>
                <c:pt idx="9">
                  <c:v>-0.10999999999999996</c:v>
                </c:pt>
                <c:pt idx="10">
                  <c:v>-9.9999999999999964E-2</c:v>
                </c:pt>
                <c:pt idx="11">
                  <c:v>-8.9999999999999969E-2</c:v>
                </c:pt>
                <c:pt idx="12">
                  <c:v>-7.9999999999999974E-2</c:v>
                </c:pt>
                <c:pt idx="13">
                  <c:v>-6.9999999999999979E-2</c:v>
                </c:pt>
                <c:pt idx="14">
                  <c:v>-5.9999999999999977E-2</c:v>
                </c:pt>
                <c:pt idx="15">
                  <c:v>-4.9999999999999975E-2</c:v>
                </c:pt>
                <c:pt idx="16">
                  <c:v>-3.9999999999999973E-2</c:v>
                </c:pt>
                <c:pt idx="17">
                  <c:v>-2.9999999999999971E-2</c:v>
                </c:pt>
                <c:pt idx="18">
                  <c:v>-1.9999999999999969E-2</c:v>
                </c:pt>
                <c:pt idx="19">
                  <c:v>-9.999999999999969E-3</c:v>
                </c:pt>
                <c:pt idx="20">
                  <c:v>3.1225022567582528E-17</c:v>
                </c:pt>
                <c:pt idx="21">
                  <c:v>1.0000000000000031E-2</c:v>
                </c:pt>
                <c:pt idx="22">
                  <c:v>2.0000000000000032E-2</c:v>
                </c:pt>
                <c:pt idx="23">
                  <c:v>3.0000000000000034E-2</c:v>
                </c:pt>
                <c:pt idx="24">
                  <c:v>4.0000000000000036E-2</c:v>
                </c:pt>
                <c:pt idx="25">
                  <c:v>5.0000000000000037E-2</c:v>
                </c:pt>
                <c:pt idx="26">
                  <c:v>6.0000000000000039E-2</c:v>
                </c:pt>
                <c:pt idx="27">
                  <c:v>7.0000000000000034E-2</c:v>
                </c:pt>
                <c:pt idx="28">
                  <c:v>8.0000000000000029E-2</c:v>
                </c:pt>
                <c:pt idx="29">
                  <c:v>9.0000000000000024E-2</c:v>
                </c:pt>
                <c:pt idx="30">
                  <c:v>0.10000000000000002</c:v>
                </c:pt>
                <c:pt idx="31">
                  <c:v>0.11000000000000001</c:v>
                </c:pt>
                <c:pt idx="32">
                  <c:v>0.12000000000000001</c:v>
                </c:pt>
                <c:pt idx="33">
                  <c:v>0.13</c:v>
                </c:pt>
                <c:pt idx="34">
                  <c:v>0.14000000000000001</c:v>
                </c:pt>
                <c:pt idx="35">
                  <c:v>0.15000000000000002</c:v>
                </c:pt>
                <c:pt idx="36">
                  <c:v>0.16000000000000003</c:v>
                </c:pt>
                <c:pt idx="37">
                  <c:v>0.17000000000000004</c:v>
                </c:pt>
                <c:pt idx="38">
                  <c:v>0.18000000000000005</c:v>
                </c:pt>
                <c:pt idx="39">
                  <c:v>0.19000000000000006</c:v>
                </c:pt>
                <c:pt idx="40">
                  <c:v>0.20000000000000007</c:v>
                </c:pt>
              </c:numCache>
            </c:numRef>
          </c:xVal>
          <c:yVal>
            <c:numRef>
              <c:f>'hysteresis data from vendors'!$D$22:$D$62</c:f>
              <c:numCache>
                <c:formatCode>0.0</c:formatCode>
                <c:ptCount val="41"/>
                <c:pt idx="0">
                  <c:v>-7005.6266364943003</c:v>
                </c:pt>
                <c:pt idx="1">
                  <c:v>-6977.2186291019325</c:v>
                </c:pt>
                <c:pt idx="2">
                  <c:v>-6945.433738711984</c:v>
                </c:pt>
                <c:pt idx="3">
                  <c:v>-6909.6306221711939</c:v>
                </c:pt>
                <c:pt idx="4">
                  <c:v>-6868.9955984421867</c:v>
                </c:pt>
                <c:pt idx="5">
                  <c:v>-6822.4810287875607</c:v>
                </c:pt>
                <c:pt idx="6">
                  <c:v>-6768.7154617534134</c:v>
                </c:pt>
                <c:pt idx="7">
                  <c:v>-6705.8693695057782</c:v>
                </c:pt>
                <c:pt idx="8">
                  <c:v>-6631.448920861737</c:v>
                </c:pt>
                <c:pt idx="9">
                  <c:v>-6541.9691445346543</c:v>
                </c:pt>
                <c:pt idx="10">
                  <c:v>-6432.4171017128565</c:v>
                </c:pt>
                <c:pt idx="11">
                  <c:v>-6295.3333574481485</c:v>
                </c:pt>
                <c:pt idx="12">
                  <c:v>-6119.1652920668921</c:v>
                </c:pt>
                <c:pt idx="13">
                  <c:v>-5885.1560922187555</c:v>
                </c:pt>
                <c:pt idx="14">
                  <c:v>-5561.1288763242064</c:v>
                </c:pt>
                <c:pt idx="15">
                  <c:v>-5088.4373339091208</c:v>
                </c:pt>
                <c:pt idx="16">
                  <c:v>-4354.5019232825689</c:v>
                </c:pt>
                <c:pt idx="17">
                  <c:v>-3147.8576251958693</c:v>
                </c:pt>
                <c:pt idx="18">
                  <c:v>-1206.9567890333826</c:v>
                </c:pt>
                <c:pt idx="19">
                  <c:v>1206.9567890333969</c:v>
                </c:pt>
                <c:pt idx="20">
                  <c:v>3147.8576251958784</c:v>
                </c:pt>
                <c:pt idx="21">
                  <c:v>4354.5019232825744</c:v>
                </c:pt>
                <c:pt idx="22">
                  <c:v>5088.4373339091235</c:v>
                </c:pt>
                <c:pt idx="23">
                  <c:v>5561.1288763242082</c:v>
                </c:pt>
                <c:pt idx="24">
                  <c:v>5885.1560922187582</c:v>
                </c:pt>
                <c:pt idx="25">
                  <c:v>6119.165292066893</c:v>
                </c:pt>
                <c:pt idx="26">
                  <c:v>6295.3333574481494</c:v>
                </c:pt>
                <c:pt idx="27">
                  <c:v>6432.4171017128574</c:v>
                </c:pt>
                <c:pt idx="28">
                  <c:v>6541.9691445346552</c:v>
                </c:pt>
                <c:pt idx="29">
                  <c:v>6631.4489208617379</c:v>
                </c:pt>
                <c:pt idx="30">
                  <c:v>6705.86936950578</c:v>
                </c:pt>
                <c:pt idx="31">
                  <c:v>6768.7154617534134</c:v>
                </c:pt>
                <c:pt idx="32">
                  <c:v>6822.4810287875616</c:v>
                </c:pt>
                <c:pt idx="33">
                  <c:v>6868.9955984421867</c:v>
                </c:pt>
                <c:pt idx="34">
                  <c:v>6909.6306221711948</c:v>
                </c:pt>
                <c:pt idx="35">
                  <c:v>6945.433738711984</c:v>
                </c:pt>
                <c:pt idx="36">
                  <c:v>6977.2186291019325</c:v>
                </c:pt>
                <c:pt idx="37">
                  <c:v>7005.6266364943003</c:v>
                </c:pt>
                <c:pt idx="38">
                  <c:v>7031.1699504575408</c:v>
                </c:pt>
                <c:pt idx="39">
                  <c:v>7054.2624648050651</c:v>
                </c:pt>
                <c:pt idx="40">
                  <c:v>7075.2422158270283</c:v>
                </c:pt>
              </c:numCache>
            </c:numRef>
          </c:yVal>
          <c:smooth val="1"/>
        </c:ser>
        <c:ser>
          <c:idx val="1"/>
          <c:order val="1"/>
          <c:tx>
            <c:v>-B</c:v>
          </c:tx>
          <c:marker>
            <c:symbol val="none"/>
          </c:marker>
          <c:xVal>
            <c:numRef>
              <c:f>'hysteresis data from vendors'!$C$22:$C$62</c:f>
              <c:numCache>
                <c:formatCode>General</c:formatCode>
                <c:ptCount val="41"/>
                <c:pt idx="0">
                  <c:v>-0.2</c:v>
                </c:pt>
                <c:pt idx="1">
                  <c:v>-0.19</c:v>
                </c:pt>
                <c:pt idx="2">
                  <c:v>-0.18</c:v>
                </c:pt>
                <c:pt idx="3">
                  <c:v>-0.16999999999999998</c:v>
                </c:pt>
                <c:pt idx="4">
                  <c:v>-0.15999999999999998</c:v>
                </c:pt>
                <c:pt idx="5">
                  <c:v>-0.14999999999999997</c:v>
                </c:pt>
                <c:pt idx="6">
                  <c:v>-0.13999999999999996</c:v>
                </c:pt>
                <c:pt idx="7">
                  <c:v>-0.12999999999999995</c:v>
                </c:pt>
                <c:pt idx="8">
                  <c:v>-0.11999999999999995</c:v>
                </c:pt>
                <c:pt idx="9">
                  <c:v>-0.10999999999999996</c:v>
                </c:pt>
                <c:pt idx="10">
                  <c:v>-9.9999999999999964E-2</c:v>
                </c:pt>
                <c:pt idx="11">
                  <c:v>-8.9999999999999969E-2</c:v>
                </c:pt>
                <c:pt idx="12">
                  <c:v>-7.9999999999999974E-2</c:v>
                </c:pt>
                <c:pt idx="13">
                  <c:v>-6.9999999999999979E-2</c:v>
                </c:pt>
                <c:pt idx="14">
                  <c:v>-5.9999999999999977E-2</c:v>
                </c:pt>
                <c:pt idx="15">
                  <c:v>-4.9999999999999975E-2</c:v>
                </c:pt>
                <c:pt idx="16">
                  <c:v>-3.9999999999999973E-2</c:v>
                </c:pt>
                <c:pt idx="17">
                  <c:v>-2.9999999999999971E-2</c:v>
                </c:pt>
                <c:pt idx="18">
                  <c:v>-1.9999999999999969E-2</c:v>
                </c:pt>
                <c:pt idx="19">
                  <c:v>-9.999999999999969E-3</c:v>
                </c:pt>
                <c:pt idx="20">
                  <c:v>3.1225022567582528E-17</c:v>
                </c:pt>
                <c:pt idx="21">
                  <c:v>1.0000000000000031E-2</c:v>
                </c:pt>
                <c:pt idx="22">
                  <c:v>2.0000000000000032E-2</c:v>
                </c:pt>
                <c:pt idx="23">
                  <c:v>3.0000000000000034E-2</c:v>
                </c:pt>
                <c:pt idx="24">
                  <c:v>4.0000000000000036E-2</c:v>
                </c:pt>
                <c:pt idx="25">
                  <c:v>5.0000000000000037E-2</c:v>
                </c:pt>
                <c:pt idx="26">
                  <c:v>6.0000000000000039E-2</c:v>
                </c:pt>
                <c:pt idx="27">
                  <c:v>7.0000000000000034E-2</c:v>
                </c:pt>
                <c:pt idx="28">
                  <c:v>8.0000000000000029E-2</c:v>
                </c:pt>
                <c:pt idx="29">
                  <c:v>9.0000000000000024E-2</c:v>
                </c:pt>
                <c:pt idx="30">
                  <c:v>0.10000000000000002</c:v>
                </c:pt>
                <c:pt idx="31">
                  <c:v>0.11000000000000001</c:v>
                </c:pt>
                <c:pt idx="32">
                  <c:v>0.12000000000000001</c:v>
                </c:pt>
                <c:pt idx="33">
                  <c:v>0.13</c:v>
                </c:pt>
                <c:pt idx="34">
                  <c:v>0.14000000000000001</c:v>
                </c:pt>
                <c:pt idx="35">
                  <c:v>0.15000000000000002</c:v>
                </c:pt>
                <c:pt idx="36">
                  <c:v>0.16000000000000003</c:v>
                </c:pt>
                <c:pt idx="37">
                  <c:v>0.17000000000000004</c:v>
                </c:pt>
                <c:pt idx="38">
                  <c:v>0.18000000000000005</c:v>
                </c:pt>
                <c:pt idx="39">
                  <c:v>0.19000000000000006</c:v>
                </c:pt>
                <c:pt idx="40">
                  <c:v>0.20000000000000007</c:v>
                </c:pt>
              </c:numCache>
            </c:numRef>
          </c:xVal>
          <c:yVal>
            <c:numRef>
              <c:f>'hysteresis data from vendors'!$E$22:$E$62</c:f>
              <c:numCache>
                <c:formatCode>0.0</c:formatCode>
                <c:ptCount val="41"/>
                <c:pt idx="0">
                  <c:v>-7075.2422158270283</c:v>
                </c:pt>
                <c:pt idx="1">
                  <c:v>-7054.2624648050651</c:v>
                </c:pt>
                <c:pt idx="2">
                  <c:v>-7031.1699504575408</c:v>
                </c:pt>
                <c:pt idx="3">
                  <c:v>-7005.6266364943003</c:v>
                </c:pt>
                <c:pt idx="4">
                  <c:v>-6977.2186291019325</c:v>
                </c:pt>
                <c:pt idx="5">
                  <c:v>-6945.433738711984</c:v>
                </c:pt>
                <c:pt idx="6">
                  <c:v>-6909.6306221711939</c:v>
                </c:pt>
                <c:pt idx="7">
                  <c:v>-6868.9955984421867</c:v>
                </c:pt>
                <c:pt idx="8">
                  <c:v>-6822.4810287875607</c:v>
                </c:pt>
                <c:pt idx="9">
                  <c:v>-6768.7154617534134</c:v>
                </c:pt>
                <c:pt idx="10">
                  <c:v>-6705.8693695057782</c:v>
                </c:pt>
                <c:pt idx="11">
                  <c:v>-6631.448920861737</c:v>
                </c:pt>
                <c:pt idx="12">
                  <c:v>-6541.9691445346552</c:v>
                </c:pt>
                <c:pt idx="13">
                  <c:v>-6432.4171017128565</c:v>
                </c:pt>
                <c:pt idx="14">
                  <c:v>-6295.3333574481494</c:v>
                </c:pt>
                <c:pt idx="15">
                  <c:v>-6119.1652920668921</c:v>
                </c:pt>
                <c:pt idx="16">
                  <c:v>-5885.1560922187555</c:v>
                </c:pt>
                <c:pt idx="17">
                  <c:v>-5561.1288763242064</c:v>
                </c:pt>
                <c:pt idx="18">
                  <c:v>-5088.4373339091189</c:v>
                </c:pt>
                <c:pt idx="19">
                  <c:v>-4354.5019232825689</c:v>
                </c:pt>
                <c:pt idx="20">
                  <c:v>-3147.8576251958684</c:v>
                </c:pt>
                <c:pt idx="21">
                  <c:v>-1206.9567890333822</c:v>
                </c:pt>
                <c:pt idx="22">
                  <c:v>1206.9567890333972</c:v>
                </c:pt>
                <c:pt idx="23">
                  <c:v>3147.8576251958784</c:v>
                </c:pt>
                <c:pt idx="24">
                  <c:v>4354.5019232825753</c:v>
                </c:pt>
                <c:pt idx="25">
                  <c:v>5088.4373339091235</c:v>
                </c:pt>
                <c:pt idx="26">
                  <c:v>5561.1288763242082</c:v>
                </c:pt>
                <c:pt idx="27">
                  <c:v>5885.1560922187582</c:v>
                </c:pt>
                <c:pt idx="28">
                  <c:v>6119.165292066893</c:v>
                </c:pt>
                <c:pt idx="29">
                  <c:v>6295.3333574481494</c:v>
                </c:pt>
                <c:pt idx="30">
                  <c:v>6432.4171017128574</c:v>
                </c:pt>
                <c:pt idx="31">
                  <c:v>6541.9691445346552</c:v>
                </c:pt>
                <c:pt idx="32">
                  <c:v>6631.4489208617379</c:v>
                </c:pt>
                <c:pt idx="33">
                  <c:v>6705.86936950578</c:v>
                </c:pt>
                <c:pt idx="34">
                  <c:v>6768.7154617534134</c:v>
                </c:pt>
                <c:pt idx="35">
                  <c:v>6822.4810287875616</c:v>
                </c:pt>
                <c:pt idx="36">
                  <c:v>6868.9955984421867</c:v>
                </c:pt>
                <c:pt idx="37">
                  <c:v>6909.6306221711948</c:v>
                </c:pt>
                <c:pt idx="38">
                  <c:v>6945.433738711984</c:v>
                </c:pt>
                <c:pt idx="39">
                  <c:v>6977.2186291019325</c:v>
                </c:pt>
                <c:pt idx="40">
                  <c:v>7005.6266364943003</c:v>
                </c:pt>
              </c:numCache>
            </c:numRef>
          </c:yVal>
          <c:smooth val="1"/>
        </c:ser>
        <c:dLbls>
          <c:showLegendKey val="0"/>
          <c:showVal val="0"/>
          <c:showCatName val="0"/>
          <c:showSerName val="0"/>
          <c:showPercent val="0"/>
          <c:showBubbleSize val="0"/>
        </c:dLbls>
        <c:axId val="37356672"/>
        <c:axId val="37358592"/>
      </c:scatterChart>
      <c:valAx>
        <c:axId val="37356672"/>
        <c:scaling>
          <c:orientation val="minMax"/>
          <c:max val="0.2"/>
          <c:min val="-0.2"/>
        </c:scaling>
        <c:delete val="0"/>
        <c:axPos val="b"/>
        <c:title>
          <c:tx>
            <c:rich>
              <a:bodyPr/>
              <a:lstStyle/>
              <a:p>
                <a:pPr>
                  <a:defRPr/>
                </a:pPr>
                <a:r>
                  <a:rPr lang="en-US"/>
                  <a:t>H (Oersted)</a:t>
                </a:r>
              </a:p>
            </c:rich>
          </c:tx>
          <c:layout>
            <c:manualLayout>
              <c:xMode val="edge"/>
              <c:yMode val="edge"/>
              <c:x val="0.33317402715964983"/>
              <c:y val="0.92034703995333922"/>
            </c:manualLayout>
          </c:layout>
          <c:overlay val="0"/>
        </c:title>
        <c:numFmt formatCode="General" sourceLinked="1"/>
        <c:majorTickMark val="none"/>
        <c:minorTickMark val="none"/>
        <c:tickLblPos val="nextTo"/>
        <c:crossAx val="37358592"/>
        <c:crosses val="autoZero"/>
        <c:crossBetween val="midCat"/>
        <c:majorUnit val="0.1"/>
      </c:valAx>
      <c:valAx>
        <c:axId val="37358592"/>
        <c:scaling>
          <c:orientation val="minMax"/>
        </c:scaling>
        <c:delete val="0"/>
        <c:axPos val="l"/>
        <c:majorGridlines/>
        <c:title>
          <c:tx>
            <c:rich>
              <a:bodyPr/>
              <a:lstStyle/>
              <a:p>
                <a:pPr>
                  <a:defRPr/>
                </a:pPr>
                <a:r>
                  <a:rPr lang="en-US"/>
                  <a:t>B (Gauss)</a:t>
                </a:r>
              </a:p>
            </c:rich>
          </c:tx>
          <c:layout>
            <c:manualLayout>
              <c:xMode val="edge"/>
              <c:yMode val="edge"/>
              <c:x val="1.1594202898550725E-2"/>
              <c:y val="0.38924176144648587"/>
            </c:manualLayout>
          </c:layout>
          <c:overlay val="0"/>
        </c:title>
        <c:numFmt formatCode="0.0" sourceLinked="1"/>
        <c:majorTickMark val="none"/>
        <c:minorTickMark val="none"/>
        <c:tickLblPos val="nextTo"/>
        <c:crossAx val="37356672"/>
        <c:crosses val="autoZero"/>
        <c:crossBetween val="midCat"/>
      </c:valAx>
    </c:plotArea>
    <c:legend>
      <c:legendPos val="r"/>
      <c:layout>
        <c:manualLayout>
          <c:xMode val="edge"/>
          <c:yMode val="edge"/>
          <c:x val="0.66133333333333422"/>
          <c:y val="0.30517169728783988"/>
          <c:w val="0.23431884057971039"/>
          <c:h val="0.12576771653543334"/>
        </c:manualLayout>
      </c:layout>
      <c:overlay val="0"/>
      <c:spPr>
        <a:solidFill>
          <a:schemeClr val="bg1"/>
        </a:solidFill>
        <a:ln>
          <a:noFill/>
        </a:ln>
      </c:sp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21</xdr:row>
      <xdr:rowOff>152400</xdr:rowOff>
    </xdr:from>
    <xdr:to>
      <xdr:col>9</xdr:col>
      <xdr:colOff>533400</xdr:colOff>
      <xdr:row>36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209550</xdr:colOff>
      <xdr:row>21</xdr:row>
      <xdr:rowOff>123825</xdr:rowOff>
    </xdr:from>
    <xdr:to>
      <xdr:col>19</xdr:col>
      <xdr:colOff>571500</xdr:colOff>
      <xdr:row>36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3"/>
  <sheetViews>
    <sheetView tabSelected="1" zoomScale="80" zoomScaleNormal="80" workbookViewId="0">
      <selection activeCell="Q12" sqref="Q12"/>
    </sheetView>
  </sheetViews>
  <sheetFormatPr defaultRowHeight="15" x14ac:dyDescent="0.25"/>
  <cols>
    <col min="1" max="1" width="10.7109375" customWidth="1"/>
    <col min="2" max="2" width="13.85546875" customWidth="1"/>
    <col min="4" max="4" width="12.140625" customWidth="1"/>
    <col min="5" max="5" width="11.7109375" customWidth="1"/>
    <col min="6" max="6" width="11" bestFit="1" customWidth="1"/>
    <col min="8" max="8" width="12.7109375" bestFit="1" customWidth="1"/>
    <col min="9" max="9" width="11.42578125" customWidth="1"/>
    <col min="10" max="10" width="12.5703125" customWidth="1"/>
    <col min="11" max="11" width="11.5703125" customWidth="1"/>
    <col min="12" max="12" width="14.42578125" customWidth="1"/>
    <col min="13" max="13" width="12.140625" customWidth="1"/>
    <col min="14" max="14" width="12.28515625" customWidth="1"/>
    <col min="15" max="15" width="9.28515625" customWidth="1"/>
    <col min="16" max="16" width="14.28515625" customWidth="1"/>
    <col min="17" max="17" width="11.85546875" customWidth="1"/>
    <col min="18" max="18" width="12.140625" customWidth="1"/>
    <col min="19" max="19" width="10" customWidth="1"/>
    <col min="21" max="21" width="9" customWidth="1"/>
    <col min="22" max="22" width="9.140625" customWidth="1"/>
    <col min="23" max="23" width="9" customWidth="1"/>
    <col min="24" max="24" width="11.85546875" customWidth="1"/>
    <col min="25" max="25" width="10" customWidth="1"/>
  </cols>
  <sheetData>
    <row r="1" spans="1:25" x14ac:dyDescent="0.25">
      <c r="A1" t="s">
        <v>208</v>
      </c>
      <c r="E1" s="60"/>
      <c r="F1" s="60"/>
    </row>
    <row r="2" spans="1:25" ht="15.75" thickBot="1" x14ac:dyDescent="0.3">
      <c r="B2" s="3"/>
      <c r="C2" s="3"/>
      <c r="D2" s="3"/>
      <c r="E2" s="3"/>
      <c r="F2" s="3"/>
      <c r="G2" s="3"/>
      <c r="H2" s="163" t="s">
        <v>188</v>
      </c>
      <c r="I2" s="176" t="s">
        <v>35</v>
      </c>
      <c r="J2" s="176"/>
      <c r="K2" s="176"/>
      <c r="L2" s="176"/>
      <c r="M2" s="176"/>
      <c r="N2" s="176"/>
      <c r="O2" s="164" t="s">
        <v>185</v>
      </c>
      <c r="P2" s="3"/>
      <c r="Q2" s="3"/>
      <c r="R2" s="46" t="s">
        <v>98</v>
      </c>
      <c r="S2" s="46">
        <v>4</v>
      </c>
      <c r="T2" s="46"/>
      <c r="U2" s="46"/>
      <c r="X2" s="177" t="s">
        <v>100</v>
      </c>
      <c r="Y2" s="178"/>
    </row>
    <row r="3" spans="1:25" ht="18" x14ac:dyDescent="0.25">
      <c r="B3" s="170" t="s">
        <v>144</v>
      </c>
      <c r="C3" s="170"/>
      <c r="D3" s="3"/>
      <c r="F3" s="91"/>
      <c r="G3" s="3"/>
      <c r="H3" s="161">
        <v>40633</v>
      </c>
      <c r="I3" s="179" t="s">
        <v>34</v>
      </c>
      <c r="J3" s="171"/>
      <c r="K3" s="171"/>
      <c r="L3" s="171"/>
      <c r="M3" s="171"/>
      <c r="N3" s="171"/>
      <c r="O3" s="162" t="s">
        <v>186</v>
      </c>
      <c r="P3" s="3"/>
      <c r="R3" s="182" t="s">
        <v>95</v>
      </c>
      <c r="S3" s="183"/>
      <c r="T3" s="183"/>
      <c r="U3" s="184"/>
      <c r="X3" s="55" t="s">
        <v>101</v>
      </c>
      <c r="Y3" s="54">
        <f>6378+300</f>
        <v>6678</v>
      </c>
    </row>
    <row r="4" spans="1:25" ht="18" x14ac:dyDescent="0.35">
      <c r="B4" s="168" t="s">
        <v>182</v>
      </c>
      <c r="C4" s="168"/>
      <c r="D4" s="3"/>
      <c r="G4" s="3"/>
      <c r="H4" s="152">
        <v>40647</v>
      </c>
      <c r="I4" s="180" t="s">
        <v>61</v>
      </c>
      <c r="J4" s="181"/>
      <c r="K4" s="181"/>
      <c r="L4" s="181"/>
      <c r="M4" s="181"/>
      <c r="N4" s="181"/>
      <c r="O4" s="160" t="s">
        <v>187</v>
      </c>
      <c r="P4" s="3"/>
      <c r="Q4" s="3"/>
      <c r="R4" s="47" t="s">
        <v>96</v>
      </c>
      <c r="S4" s="48" t="s">
        <v>92</v>
      </c>
      <c r="T4" s="48" t="s">
        <v>93</v>
      </c>
      <c r="U4" s="49" t="s">
        <v>94</v>
      </c>
      <c r="X4" s="56" t="s">
        <v>102</v>
      </c>
      <c r="Y4" s="54">
        <f>6378+300</f>
        <v>6678</v>
      </c>
    </row>
    <row r="5" spans="1:25" x14ac:dyDescent="0.25">
      <c r="B5" s="168" t="s">
        <v>77</v>
      </c>
      <c r="C5" s="168"/>
      <c r="D5" s="3"/>
      <c r="G5" s="3"/>
      <c r="H5" s="152">
        <v>40970</v>
      </c>
      <c r="I5" s="174" t="s">
        <v>36</v>
      </c>
      <c r="J5" s="175"/>
      <c r="K5" s="175"/>
      <c r="L5" s="175"/>
      <c r="M5" s="175"/>
      <c r="N5" s="175"/>
      <c r="O5" s="159" t="s">
        <v>186</v>
      </c>
      <c r="P5" s="3"/>
      <c r="Q5" s="3"/>
      <c r="R5" s="47" t="s">
        <v>92</v>
      </c>
      <c r="S5" s="52">
        <v>0.4</v>
      </c>
      <c r="T5" s="48">
        <v>0</v>
      </c>
      <c r="U5" s="49">
        <v>0</v>
      </c>
      <c r="X5" s="57" t="s">
        <v>103</v>
      </c>
      <c r="Y5" s="54">
        <v>0</v>
      </c>
    </row>
    <row r="6" spans="1:25" x14ac:dyDescent="0.25">
      <c r="B6" s="168" t="s">
        <v>78</v>
      </c>
      <c r="C6" s="168"/>
      <c r="D6" s="3"/>
      <c r="G6" s="3"/>
      <c r="H6" s="152">
        <v>41000</v>
      </c>
      <c r="I6" s="174" t="s">
        <v>86</v>
      </c>
      <c r="J6" s="175"/>
      <c r="K6" s="175"/>
      <c r="L6" s="175"/>
      <c r="M6" s="175"/>
      <c r="N6" s="175"/>
      <c r="O6" s="159" t="s">
        <v>186</v>
      </c>
      <c r="P6" s="3"/>
      <c r="Q6" s="3"/>
      <c r="R6" s="47" t="s">
        <v>93</v>
      </c>
      <c r="S6" s="48">
        <v>0</v>
      </c>
      <c r="T6" s="52">
        <v>0.4</v>
      </c>
      <c r="U6" s="49">
        <v>0</v>
      </c>
      <c r="X6" s="55" t="s">
        <v>104</v>
      </c>
      <c r="Y6" s="63">
        <f>(Y3-Y4)/(Y3+Y4)</f>
        <v>0</v>
      </c>
    </row>
    <row r="7" spans="1:25" ht="18" x14ac:dyDescent="0.35">
      <c r="B7" s="168" t="s">
        <v>79</v>
      </c>
      <c r="C7" s="168"/>
      <c r="D7" s="3"/>
      <c r="E7" s="3"/>
      <c r="F7" s="3"/>
      <c r="G7" s="3"/>
      <c r="H7" s="152">
        <v>41012</v>
      </c>
      <c r="I7" s="174" t="s">
        <v>59</v>
      </c>
      <c r="J7" s="175"/>
      <c r="K7" s="175"/>
      <c r="L7" s="175"/>
      <c r="M7" s="175"/>
      <c r="N7" s="175"/>
      <c r="O7" s="159" t="s">
        <v>186</v>
      </c>
      <c r="P7" s="3"/>
      <c r="Q7" s="3"/>
      <c r="R7" s="50" t="s">
        <v>94</v>
      </c>
      <c r="S7" s="51">
        <v>0</v>
      </c>
      <c r="T7" s="51">
        <v>0</v>
      </c>
      <c r="U7" s="53">
        <v>0.08</v>
      </c>
      <c r="X7" s="55" t="s">
        <v>105</v>
      </c>
      <c r="Y7" s="61">
        <f>(Y3+Y4)/2</f>
        <v>6678</v>
      </c>
    </row>
    <row r="8" spans="1:25" ht="17.25" x14ac:dyDescent="0.25">
      <c r="B8" s="3"/>
      <c r="C8" s="3"/>
      <c r="D8" s="3"/>
      <c r="E8" s="3"/>
      <c r="F8" s="3"/>
      <c r="G8" s="3"/>
      <c r="H8" s="152">
        <v>41297</v>
      </c>
      <c r="I8" s="174" t="s">
        <v>166</v>
      </c>
      <c r="J8" s="175"/>
      <c r="K8" s="175"/>
      <c r="L8" s="175"/>
      <c r="M8" s="175"/>
      <c r="N8" s="175"/>
      <c r="O8" s="159" t="s">
        <v>186</v>
      </c>
      <c r="P8" s="3"/>
      <c r="Q8" s="3"/>
      <c r="X8" s="55" t="s">
        <v>106</v>
      </c>
      <c r="Y8" s="54">
        <v>398601.2</v>
      </c>
    </row>
    <row r="9" spans="1:25" ht="17.25" x14ac:dyDescent="0.25">
      <c r="B9" s="111" t="s">
        <v>176</v>
      </c>
      <c r="C9" s="111"/>
      <c r="D9" s="3"/>
      <c r="E9" s="3"/>
      <c r="F9" s="3"/>
      <c r="G9" s="3"/>
      <c r="H9" s="153">
        <v>41758</v>
      </c>
      <c r="I9" s="174" t="s">
        <v>209</v>
      </c>
      <c r="J9" s="175"/>
      <c r="K9" s="175"/>
      <c r="L9" s="175"/>
      <c r="M9" s="175"/>
      <c r="N9" s="175"/>
      <c r="O9" s="159" t="s">
        <v>210</v>
      </c>
      <c r="P9" s="3"/>
      <c r="Q9" s="3"/>
      <c r="S9" s="70" t="s">
        <v>112</v>
      </c>
      <c r="T9" s="109">
        <f>10*(PI()/180)</f>
        <v>0.17453292519943295</v>
      </c>
      <c r="X9" s="55" t="s">
        <v>107</v>
      </c>
      <c r="Y9" s="64">
        <f>-Y8/(2*Y7)</f>
        <v>-29.844354597184786</v>
      </c>
    </row>
    <row r="10" spans="1:25" ht="18" x14ac:dyDescent="0.25">
      <c r="B10" s="156" t="s">
        <v>177</v>
      </c>
      <c r="C10" s="155" t="s">
        <v>179</v>
      </c>
      <c r="D10" s="3"/>
      <c r="E10" s="3"/>
      <c r="F10" s="3"/>
      <c r="G10" s="3"/>
      <c r="H10" s="76"/>
      <c r="I10" s="172"/>
      <c r="J10" s="173"/>
      <c r="K10" s="173"/>
      <c r="L10" s="173"/>
      <c r="M10" s="173"/>
      <c r="N10" s="173"/>
      <c r="O10" s="95"/>
      <c r="P10" s="3"/>
      <c r="Q10" s="3"/>
      <c r="S10" s="70" t="s">
        <v>111</v>
      </c>
      <c r="T10" s="108">
        <f>0.5*T6*(T9^2)</f>
        <v>6.092348395734172E-3</v>
      </c>
      <c r="X10" s="58" t="s">
        <v>108</v>
      </c>
      <c r="Y10" s="64">
        <f>SQRT(2*(Y9+Y8/Y3))</f>
        <v>7.7258468270067047</v>
      </c>
    </row>
    <row r="11" spans="1:25" ht="18" x14ac:dyDescent="0.25">
      <c r="A11" s="60"/>
      <c r="B11" s="157" t="s">
        <v>178</v>
      </c>
      <c r="C11" s="155" t="s">
        <v>180</v>
      </c>
      <c r="D11" s="3"/>
      <c r="E11" s="3"/>
      <c r="F11" s="3"/>
      <c r="G11" s="3"/>
      <c r="H11" s="3" t="s">
        <v>64</v>
      </c>
      <c r="I11" t="s">
        <v>65</v>
      </c>
      <c r="J11" s="3"/>
      <c r="K11" s="3"/>
      <c r="L11" s="3"/>
      <c r="M11" s="3"/>
      <c r="N11" s="3"/>
      <c r="O11" s="3"/>
      <c r="P11" s="3"/>
      <c r="Q11" s="3"/>
      <c r="R11" s="60"/>
      <c r="S11" s="70"/>
      <c r="T11" s="154"/>
      <c r="U11" s="60"/>
      <c r="V11" s="60"/>
      <c r="W11" s="60"/>
      <c r="X11" s="58" t="s">
        <v>109</v>
      </c>
      <c r="Y11" s="64">
        <f>SQRT(2*(Y9+Y8/Y4))</f>
        <v>7.7258468270067047</v>
      </c>
    </row>
    <row r="12" spans="1:25" x14ac:dyDescent="0.25">
      <c r="A12" s="60"/>
      <c r="B12" s="158" t="s">
        <v>181</v>
      </c>
      <c r="C12" s="155" t="s">
        <v>183</v>
      </c>
      <c r="D12" s="3"/>
      <c r="E12" s="3"/>
      <c r="F12" s="3"/>
      <c r="G12" s="3"/>
      <c r="H12" s="3"/>
      <c r="I12" s="60"/>
      <c r="J12" s="3"/>
      <c r="K12" s="3"/>
      <c r="L12" s="3"/>
      <c r="M12" s="3"/>
      <c r="N12" s="3"/>
      <c r="O12" s="3"/>
      <c r="P12" s="3"/>
      <c r="Q12" s="3"/>
      <c r="R12" s="60"/>
      <c r="S12" s="70"/>
      <c r="T12" s="154"/>
      <c r="U12" s="60"/>
      <c r="V12" s="60"/>
      <c r="W12" s="60"/>
      <c r="X12" s="59" t="s">
        <v>110</v>
      </c>
      <c r="Y12" s="62">
        <f>2*PI()*SQRT(Y7^3/Y8)/3600</f>
        <v>1.5086124545047257</v>
      </c>
    </row>
    <row r="13" spans="1:25" x14ac:dyDescent="0.25">
      <c r="B13" s="3"/>
      <c r="C13" s="3"/>
      <c r="D13" s="3"/>
      <c r="E13" s="3"/>
      <c r="F13" s="3"/>
      <c r="G13" s="3"/>
      <c r="H13" s="3"/>
      <c r="I13" s="60"/>
      <c r="J13" s="3"/>
      <c r="K13" s="3"/>
      <c r="L13" s="3"/>
      <c r="M13" s="3"/>
      <c r="N13" s="3"/>
      <c r="O13" s="3"/>
      <c r="P13" s="3"/>
      <c r="Q13" s="3"/>
      <c r="R13" s="70"/>
      <c r="S13" s="3"/>
      <c r="T13" s="60"/>
      <c r="U13" s="60"/>
    </row>
    <row r="14" spans="1:25" ht="15.75" thickBot="1" x14ac:dyDescent="0.3">
      <c r="B14" s="3"/>
      <c r="C14" s="3"/>
      <c r="D14" s="3"/>
      <c r="E14" s="3"/>
      <c r="F14" s="3"/>
      <c r="G14" s="3"/>
      <c r="J14" s="3"/>
      <c r="K14" s="3"/>
      <c r="L14" s="3"/>
      <c r="M14" s="3"/>
      <c r="N14" s="3"/>
      <c r="O14" s="3"/>
      <c r="P14" s="3"/>
      <c r="Q14" s="3"/>
      <c r="R14" s="70"/>
      <c r="S14" s="3"/>
    </row>
    <row r="15" spans="1:25" ht="18.75" customHeight="1" thickBot="1" x14ac:dyDescent="0.3">
      <c r="B15" s="99"/>
      <c r="C15" s="100"/>
      <c r="D15" s="100"/>
      <c r="E15" s="100"/>
      <c r="F15" s="100"/>
      <c r="G15" s="100"/>
      <c r="H15" s="100"/>
      <c r="I15" s="100"/>
      <c r="J15" s="100"/>
      <c r="K15" s="100"/>
      <c r="L15" s="100"/>
      <c r="M15" s="100"/>
      <c r="N15" s="101"/>
      <c r="O15" s="100"/>
      <c r="P15" s="14"/>
      <c r="Q15" s="14"/>
      <c r="R15" s="102"/>
    </row>
    <row r="16" spans="1:25" ht="15.75" thickBot="1" x14ac:dyDescent="0.3">
      <c r="B16" s="18" t="s">
        <v>27</v>
      </c>
      <c r="C16" s="19"/>
      <c r="D16" s="171" t="s">
        <v>172</v>
      </c>
      <c r="E16" s="171"/>
      <c r="F16" s="19"/>
      <c r="G16" s="16"/>
      <c r="H16" s="171" t="s">
        <v>173</v>
      </c>
      <c r="I16" s="171"/>
      <c r="J16" s="16"/>
      <c r="K16" s="19"/>
      <c r="L16" s="171" t="s">
        <v>174</v>
      </c>
      <c r="M16" s="171"/>
      <c r="N16" s="19"/>
      <c r="O16" s="19"/>
      <c r="P16" s="2" t="s">
        <v>24</v>
      </c>
      <c r="Q16" s="4">
        <f>((E22^2+I25^2+M24^2))^0.5</f>
        <v>1.2385487475293086E-6</v>
      </c>
      <c r="R16" s="20"/>
    </row>
    <row r="17" spans="2:26" ht="18.75" x14ac:dyDescent="0.35">
      <c r="B17" s="18"/>
      <c r="C17" s="19" t="s">
        <v>37</v>
      </c>
      <c r="D17" s="11" t="s">
        <v>23</v>
      </c>
      <c r="E17" s="9">
        <f>(6378+500)*10^3</f>
        <v>6878000</v>
      </c>
      <c r="F17" s="19"/>
      <c r="G17" s="19" t="s">
        <v>40</v>
      </c>
      <c r="H17" s="11" t="s">
        <v>8</v>
      </c>
      <c r="I17" s="9">
        <v>1367</v>
      </c>
      <c r="J17" s="19"/>
      <c r="K17" s="19" t="s">
        <v>46</v>
      </c>
      <c r="L17" s="23" t="s">
        <v>18</v>
      </c>
      <c r="M17" s="8">
        <f>1.9*10^-11</f>
        <v>1.8999999999999999E-11</v>
      </c>
      <c r="N17" s="22"/>
      <c r="O17" s="19" t="s">
        <v>156</v>
      </c>
      <c r="P17" s="13" t="s">
        <v>155</v>
      </c>
      <c r="Q17" s="68">
        <v>1.876E-5</v>
      </c>
      <c r="R17" s="20"/>
      <c r="T17" s="69"/>
      <c r="U17" s="69"/>
      <c r="V17" s="69"/>
    </row>
    <row r="18" spans="2:26" ht="18.75" x14ac:dyDescent="0.35">
      <c r="B18" s="18"/>
      <c r="C18" s="19" t="s">
        <v>38</v>
      </c>
      <c r="D18" s="12" t="s">
        <v>3</v>
      </c>
      <c r="E18" s="7">
        <v>398600000000000</v>
      </c>
      <c r="F18" s="21"/>
      <c r="G18" s="19" t="s">
        <v>41</v>
      </c>
      <c r="H18" s="1" t="s">
        <v>5</v>
      </c>
      <c r="I18" s="7">
        <v>300000000</v>
      </c>
      <c r="J18" s="21"/>
      <c r="K18" s="19" t="s">
        <v>55</v>
      </c>
      <c r="L18" s="1" t="s">
        <v>17</v>
      </c>
      <c r="M18" s="5">
        <v>2</v>
      </c>
      <c r="N18" s="19"/>
      <c r="O18" s="19" t="s">
        <v>56</v>
      </c>
      <c r="P18" s="96" t="s">
        <v>184</v>
      </c>
      <c r="Q18" s="39">
        <v>15</v>
      </c>
      <c r="R18" s="20"/>
      <c r="T18" s="69"/>
    </row>
    <row r="19" spans="2:26" ht="18.75" x14ac:dyDescent="0.35">
      <c r="B19" s="18"/>
      <c r="C19" s="19" t="s">
        <v>47</v>
      </c>
      <c r="D19" s="1" t="s">
        <v>25</v>
      </c>
      <c r="E19" s="65">
        <f>S5</f>
        <v>0.4</v>
      </c>
      <c r="F19" s="19"/>
      <c r="G19" s="19" t="s">
        <v>42</v>
      </c>
      <c r="H19" s="1" t="s">
        <v>9</v>
      </c>
      <c r="I19" s="110">
        <f>(COS(PI()/4)*0.1*0.1)+(COS(PI()/4)*0.3*0.1)*2</f>
        <v>4.9497474683058332E-2</v>
      </c>
      <c r="J19" s="19"/>
      <c r="K19" s="19" t="s">
        <v>50</v>
      </c>
      <c r="L19" s="1" t="s">
        <v>16</v>
      </c>
      <c r="M19" s="110">
        <f>(COS(PI()/4)*0.1*0.1)+(COS(PI()/4)*0.3*0.1)*2</f>
        <v>4.9497474683058332E-2</v>
      </c>
      <c r="N19" s="21"/>
      <c r="O19" s="19" t="s">
        <v>168</v>
      </c>
      <c r="P19" s="10" t="s">
        <v>167</v>
      </c>
      <c r="Q19" s="13">
        <v>10</v>
      </c>
      <c r="R19" s="20"/>
      <c r="S19" s="69"/>
      <c r="T19" s="69"/>
    </row>
    <row r="20" spans="2:26" ht="19.5" thickBot="1" x14ac:dyDescent="0.4">
      <c r="B20" s="18"/>
      <c r="C20" s="19" t="s">
        <v>48</v>
      </c>
      <c r="D20" s="1" t="s">
        <v>26</v>
      </c>
      <c r="E20" s="65">
        <f>U7</f>
        <v>0.08</v>
      </c>
      <c r="F20" s="19"/>
      <c r="G20" s="19" t="s">
        <v>45</v>
      </c>
      <c r="H20" s="1" t="s">
        <v>10</v>
      </c>
      <c r="I20" s="5">
        <v>0</v>
      </c>
      <c r="J20" s="19"/>
      <c r="K20" s="19" t="s">
        <v>51</v>
      </c>
      <c r="L20" s="1" t="s">
        <v>13</v>
      </c>
      <c r="M20" s="107">
        <f>(E18/E17)^(1/2)</f>
        <v>7612.6797701552559</v>
      </c>
      <c r="N20" s="19"/>
      <c r="O20" s="19" t="s">
        <v>175</v>
      </c>
      <c r="P20" s="97" t="s">
        <v>62</v>
      </c>
      <c r="Q20" s="98">
        <f>Q19*Q16/(Q17*SIN(Q18*PI()/180))</f>
        <v>2.5508448237879273</v>
      </c>
      <c r="R20" s="20"/>
      <c r="S20" s="69"/>
      <c r="T20" s="69"/>
    </row>
    <row r="21" spans="2:26" ht="15.75" thickBot="1" x14ac:dyDescent="0.3">
      <c r="B21" s="18"/>
      <c r="C21" s="19" t="s">
        <v>39</v>
      </c>
      <c r="D21" s="12" t="s">
        <v>4</v>
      </c>
      <c r="E21" s="5" t="s">
        <v>31</v>
      </c>
      <c r="F21" s="19"/>
      <c r="G21" s="19" t="s">
        <v>49</v>
      </c>
      <c r="H21" s="1" t="s">
        <v>6</v>
      </c>
      <c r="I21" s="5">
        <v>0.02</v>
      </c>
      <c r="J21" s="19"/>
      <c r="K21" s="19" t="s">
        <v>52</v>
      </c>
      <c r="L21" s="1" t="s">
        <v>14</v>
      </c>
      <c r="M21" s="7">
        <f>0.5*M17*M18*M19*(M20)^2</f>
        <v>5.450191549355538E-5</v>
      </c>
      <c r="N21" s="19"/>
      <c r="O21" s="19"/>
      <c r="P21" s="19"/>
      <c r="Q21" s="19"/>
      <c r="R21" s="103"/>
      <c r="S21" s="69" t="s">
        <v>91</v>
      </c>
      <c r="T21" s="69"/>
    </row>
    <row r="22" spans="2:26" ht="18.75" thickBot="1" x14ac:dyDescent="0.4">
      <c r="B22" s="18"/>
      <c r="C22" s="19"/>
      <c r="D22" s="2" t="s">
        <v>22</v>
      </c>
      <c r="E22" s="4">
        <f>(1.5*E18*ABS(E20-E19))/(E17)^3</f>
        <v>5.8801989105447996E-7</v>
      </c>
      <c r="F22" s="19"/>
      <c r="G22" s="19" t="s">
        <v>43</v>
      </c>
      <c r="H22" s="1" t="s">
        <v>7</v>
      </c>
      <c r="I22" s="5">
        <v>0.6</v>
      </c>
      <c r="J22" s="19"/>
      <c r="K22" s="19" t="s">
        <v>53</v>
      </c>
      <c r="L22" s="1" t="s">
        <v>19</v>
      </c>
      <c r="M22" s="5">
        <v>0</v>
      </c>
      <c r="N22" s="21"/>
      <c r="O22" s="19"/>
      <c r="P22" s="43" t="s">
        <v>169</v>
      </c>
      <c r="Q22" s="43"/>
      <c r="R22" s="20"/>
      <c r="S22" s="69"/>
      <c r="T22" s="69"/>
    </row>
    <row r="23" spans="2:26" ht="18.75" thickBot="1" x14ac:dyDescent="0.4">
      <c r="B23" s="18"/>
      <c r="C23" s="19"/>
      <c r="D23" s="19"/>
      <c r="E23" s="19"/>
      <c r="F23" s="19"/>
      <c r="G23" s="19" t="s">
        <v>44</v>
      </c>
      <c r="H23" s="1" t="s">
        <v>11</v>
      </c>
      <c r="I23" s="5">
        <v>0</v>
      </c>
      <c r="J23" s="19"/>
      <c r="K23" s="19" t="s">
        <v>54</v>
      </c>
      <c r="L23" s="1" t="s">
        <v>15</v>
      </c>
      <c r="M23" s="5">
        <v>0.02</v>
      </c>
      <c r="N23" s="19"/>
      <c r="O23" s="19"/>
      <c r="P23" s="38" t="s">
        <v>85</v>
      </c>
      <c r="Q23" s="40">
        <f>'Component Sizing'!F18</f>
        <v>2.3699631280078126</v>
      </c>
      <c r="R23" s="20"/>
      <c r="S23" s="69"/>
    </row>
    <row r="24" spans="2:26" ht="18.75" thickBot="1" x14ac:dyDescent="0.4">
      <c r="B24" s="18"/>
      <c r="C24" s="19"/>
      <c r="D24" s="19"/>
      <c r="E24" s="19"/>
      <c r="F24" s="19"/>
      <c r="G24" s="19"/>
      <c r="H24" s="1" t="s">
        <v>12</v>
      </c>
      <c r="I24" s="7">
        <f>I17*I19*(1+I22)*COS(I23)/I18</f>
        <v>3.6086958875595066E-7</v>
      </c>
      <c r="J24" s="21"/>
      <c r="K24" s="19"/>
      <c r="L24" s="2" t="s">
        <v>20</v>
      </c>
      <c r="M24" s="6">
        <f>M21*ABS(M22-M23)</f>
        <v>1.0900383098711076E-6</v>
      </c>
      <c r="N24" s="16"/>
      <c r="O24" s="19"/>
      <c r="P24" s="19"/>
      <c r="Q24" s="19"/>
      <c r="R24" s="17"/>
    </row>
    <row r="25" spans="2:26" ht="18.75" thickBot="1" x14ac:dyDescent="0.4">
      <c r="B25" s="18"/>
      <c r="C25" s="19"/>
      <c r="D25" s="19"/>
      <c r="E25" s="19"/>
      <c r="F25" s="19"/>
      <c r="G25" s="19"/>
      <c r="H25" s="2" t="s">
        <v>21</v>
      </c>
      <c r="I25" s="6">
        <f>I24*ABS(I20-I21)</f>
        <v>7.2173917751190137E-9</v>
      </c>
      <c r="J25" s="21"/>
      <c r="K25" s="19"/>
      <c r="L25" s="19"/>
      <c r="M25" s="19"/>
      <c r="N25" s="16"/>
      <c r="O25" s="16"/>
      <c r="P25" s="16"/>
      <c r="Q25" s="16"/>
      <c r="R25" s="17"/>
    </row>
    <row r="26" spans="2:26" x14ac:dyDescent="0.25">
      <c r="B26" s="15"/>
      <c r="C26" s="16"/>
      <c r="D26" s="16"/>
      <c r="E26" s="16"/>
      <c r="F26" s="16"/>
      <c r="G26" s="16"/>
      <c r="H26" s="16"/>
      <c r="I26" s="16"/>
      <c r="J26" s="16"/>
      <c r="K26" s="16"/>
      <c r="L26" s="16"/>
      <c r="M26" s="16"/>
      <c r="N26" s="16"/>
      <c r="O26" s="169" t="s">
        <v>158</v>
      </c>
      <c r="P26" s="169"/>
      <c r="Q26" s="169"/>
      <c r="R26" s="17"/>
    </row>
    <row r="27" spans="2:26" ht="18" x14ac:dyDescent="0.35">
      <c r="B27" s="15"/>
      <c r="C27" s="16"/>
      <c r="D27" s="16"/>
      <c r="E27" s="16"/>
      <c r="F27" s="16"/>
      <c r="G27" s="16"/>
      <c r="H27" s="16"/>
      <c r="I27" s="16"/>
      <c r="J27" s="16"/>
      <c r="K27" s="16"/>
      <c r="L27" s="16"/>
      <c r="M27" s="16"/>
      <c r="N27" s="16"/>
      <c r="O27" s="16" t="s">
        <v>163</v>
      </c>
      <c r="P27" s="76" t="s">
        <v>160</v>
      </c>
      <c r="Q27" s="76">
        <f>Q16</f>
        <v>1.2385487475293086E-6</v>
      </c>
      <c r="R27" s="17"/>
      <c r="X27" s="26"/>
      <c r="Y27" s="26"/>
      <c r="Z27" s="26"/>
    </row>
    <row r="28" spans="2:26" ht="17.25" x14ac:dyDescent="0.25">
      <c r="B28" s="15"/>
      <c r="C28" s="16"/>
      <c r="D28" s="16"/>
      <c r="E28" s="16"/>
      <c r="F28" s="16"/>
      <c r="G28" s="16"/>
      <c r="H28" s="16"/>
      <c r="I28" s="16"/>
      <c r="J28" s="16"/>
      <c r="K28" s="16"/>
      <c r="L28" s="16"/>
      <c r="M28" s="16"/>
      <c r="N28" s="16"/>
      <c r="O28" s="88" t="s">
        <v>153</v>
      </c>
      <c r="P28" s="92" t="s">
        <v>154</v>
      </c>
      <c r="Q28" s="86">
        <v>7800000000000000</v>
      </c>
      <c r="R28" s="17"/>
    </row>
    <row r="29" spans="2:26" x14ac:dyDescent="0.25">
      <c r="B29" s="15"/>
      <c r="C29" s="16"/>
      <c r="D29" s="16"/>
      <c r="E29" s="16"/>
      <c r="F29" s="16"/>
      <c r="G29" s="16"/>
      <c r="H29" s="16"/>
      <c r="I29" s="16"/>
      <c r="J29" s="16"/>
      <c r="K29" s="16"/>
      <c r="L29" s="16"/>
      <c r="M29" s="16"/>
      <c r="N29" s="16"/>
      <c r="O29" s="88" t="s">
        <v>161</v>
      </c>
      <c r="P29" s="92" t="s">
        <v>23</v>
      </c>
      <c r="Q29" s="76">
        <f>Y3*1000</f>
        <v>6678000</v>
      </c>
      <c r="R29" s="17" t="s">
        <v>157</v>
      </c>
      <c r="X29" s="27"/>
      <c r="Y29" s="27"/>
      <c r="Z29" s="27"/>
    </row>
    <row r="30" spans="2:26" ht="18" x14ac:dyDescent="0.35">
      <c r="B30" s="15"/>
      <c r="C30" s="16"/>
      <c r="D30" s="16"/>
      <c r="E30" s="16"/>
      <c r="F30" s="16"/>
      <c r="G30" s="16"/>
      <c r="H30" s="16"/>
      <c r="I30" s="16"/>
      <c r="J30" s="16"/>
      <c r="K30" s="16"/>
      <c r="L30" s="16"/>
      <c r="M30" s="16"/>
      <c r="N30" s="16"/>
      <c r="O30" s="88" t="s">
        <v>162</v>
      </c>
      <c r="P30" s="13" t="s">
        <v>159</v>
      </c>
      <c r="Q30" s="93">
        <f>Q28/Q29^3</f>
        <v>2.6191197685442953E-5</v>
      </c>
      <c r="R30" s="17"/>
    </row>
    <row r="31" spans="2:26" ht="18" x14ac:dyDescent="0.35">
      <c r="B31" s="15"/>
      <c r="C31" s="16"/>
      <c r="D31" s="16"/>
      <c r="E31" s="16"/>
      <c r="F31" s="16"/>
      <c r="G31" s="16"/>
      <c r="H31" s="16"/>
      <c r="I31" s="16"/>
      <c r="J31" s="16"/>
      <c r="K31" s="16"/>
      <c r="L31" s="16"/>
      <c r="M31" s="16"/>
      <c r="N31" s="16"/>
      <c r="O31" s="19" t="s">
        <v>56</v>
      </c>
      <c r="P31" s="10" t="s">
        <v>28</v>
      </c>
      <c r="Q31" s="13">
        <f>Q18</f>
        <v>15</v>
      </c>
      <c r="R31" s="17"/>
      <c r="T31" s="60"/>
    </row>
    <row r="32" spans="2:26" x14ac:dyDescent="0.25">
      <c r="B32" s="15"/>
      <c r="C32" s="16"/>
      <c r="D32" s="16"/>
      <c r="E32" s="16"/>
      <c r="F32" s="16"/>
      <c r="G32" s="16"/>
      <c r="H32" s="16"/>
      <c r="I32" s="16"/>
      <c r="J32" s="16"/>
      <c r="K32" s="16"/>
      <c r="L32" s="16"/>
      <c r="M32" s="16"/>
      <c r="N32" s="16"/>
      <c r="O32" s="19" t="s">
        <v>168</v>
      </c>
      <c r="P32" s="10" t="s">
        <v>167</v>
      </c>
      <c r="Q32" s="13">
        <f>Q19</f>
        <v>10</v>
      </c>
      <c r="R32" s="17"/>
      <c r="S32" s="60"/>
      <c r="T32" s="60"/>
      <c r="X32" s="16"/>
      <c r="Y32" s="16"/>
      <c r="Z32" s="16"/>
    </row>
    <row r="33" spans="1:26" ht="18.75" x14ac:dyDescent="0.35">
      <c r="B33" s="15"/>
      <c r="C33" s="16"/>
      <c r="D33" s="16"/>
      <c r="E33" s="16"/>
      <c r="F33" s="16"/>
      <c r="G33" s="16"/>
      <c r="H33" s="16"/>
      <c r="I33" s="16"/>
      <c r="J33" s="16"/>
      <c r="K33" s="16"/>
      <c r="L33" s="16"/>
      <c r="M33" s="16"/>
      <c r="N33" s="16"/>
      <c r="O33" s="19" t="s">
        <v>175</v>
      </c>
      <c r="P33" s="10" t="s">
        <v>62</v>
      </c>
      <c r="Q33" s="94">
        <f>Q32*Q27/(Q30*SIN(Q31*PI()/180))</f>
        <v>1.8270966249419991</v>
      </c>
      <c r="R33" s="17"/>
      <c r="S33" s="60"/>
    </row>
    <row r="34" spans="1:26" x14ac:dyDescent="0.25">
      <c r="B34" s="15"/>
      <c r="C34" s="16"/>
      <c r="D34" s="16"/>
      <c r="E34" s="16"/>
      <c r="F34" s="16"/>
      <c r="G34" s="16"/>
      <c r="H34" s="16"/>
      <c r="I34" s="16"/>
      <c r="J34" s="16"/>
      <c r="K34" s="16"/>
      <c r="L34" s="16"/>
      <c r="M34" s="16"/>
      <c r="N34" s="16"/>
      <c r="O34" s="16"/>
      <c r="P34" s="16"/>
      <c r="Q34" s="16"/>
      <c r="R34" s="17"/>
    </row>
    <row r="35" spans="1:26" ht="15.75" thickBot="1" x14ac:dyDescent="0.3">
      <c r="B35" s="104"/>
      <c r="C35" s="105"/>
      <c r="D35" s="105"/>
      <c r="E35" s="105"/>
      <c r="F35" s="105"/>
      <c r="G35" s="105"/>
      <c r="H35" s="105"/>
      <c r="I35" s="105"/>
      <c r="J35" s="105"/>
      <c r="K35" s="105"/>
      <c r="L35" s="105"/>
      <c r="M35" s="105"/>
      <c r="N35" s="105"/>
      <c r="O35" s="105"/>
      <c r="P35" s="105"/>
      <c r="Q35" s="105"/>
      <c r="R35" s="106"/>
    </row>
    <row r="36" spans="1:26" x14ac:dyDescent="0.25">
      <c r="A36" s="60"/>
      <c r="B36" s="60"/>
      <c r="C36" s="60"/>
      <c r="D36" s="60"/>
      <c r="E36" s="60"/>
      <c r="F36" s="60"/>
      <c r="G36" s="60"/>
      <c r="H36" s="60"/>
      <c r="I36" s="60"/>
      <c r="J36" s="60"/>
      <c r="K36" s="60"/>
      <c r="L36" s="60"/>
      <c r="M36" s="60"/>
      <c r="N36" s="60"/>
      <c r="O36" s="60"/>
      <c r="P36" s="60"/>
      <c r="Q36" s="60"/>
      <c r="R36" s="60"/>
      <c r="S36" s="60"/>
      <c r="T36" s="60"/>
      <c r="U36" s="60"/>
      <c r="V36" s="60"/>
      <c r="W36" s="60"/>
      <c r="X36" s="30"/>
      <c r="Y36" s="30"/>
      <c r="Z36" s="30"/>
    </row>
    <row r="37" spans="1:26" x14ac:dyDescent="0.25">
      <c r="A37" s="60"/>
      <c r="B37" s="60"/>
      <c r="C37" s="60"/>
      <c r="D37" s="60"/>
      <c r="E37" s="60"/>
      <c r="F37" s="60"/>
      <c r="G37" s="60"/>
      <c r="H37" s="60"/>
      <c r="I37" s="60"/>
      <c r="J37" s="60"/>
      <c r="K37" s="60"/>
      <c r="L37" s="60"/>
      <c r="M37" s="60"/>
      <c r="N37" s="60"/>
      <c r="O37" s="60"/>
      <c r="P37" s="60"/>
      <c r="Q37" s="60"/>
      <c r="R37" s="60"/>
      <c r="S37" s="60"/>
      <c r="T37" s="60"/>
      <c r="U37" s="60"/>
      <c r="V37" s="60"/>
      <c r="W37" s="60"/>
      <c r="X37" s="29"/>
      <c r="Y37" s="29"/>
      <c r="Z37" s="29"/>
    </row>
    <row r="38" spans="1:26" x14ac:dyDescent="0.25">
      <c r="B38" s="60"/>
      <c r="C38" s="60"/>
      <c r="D38" s="60"/>
      <c r="E38" s="60"/>
      <c r="F38" s="60"/>
      <c r="G38" s="60"/>
      <c r="H38" s="60"/>
      <c r="I38" s="60"/>
      <c r="J38" s="60"/>
      <c r="K38" s="60"/>
      <c r="L38" s="60"/>
      <c r="M38" s="60"/>
      <c r="N38" s="60"/>
    </row>
    <row r="39" spans="1:26" x14ac:dyDescent="0.25">
      <c r="B39" s="60"/>
      <c r="C39" s="60"/>
      <c r="D39" s="60"/>
      <c r="E39" s="60"/>
      <c r="F39" s="60"/>
      <c r="G39" s="60"/>
      <c r="H39" s="60"/>
      <c r="I39" s="60"/>
      <c r="J39" s="60"/>
      <c r="K39" s="60"/>
      <c r="L39" s="60"/>
      <c r="M39" s="60"/>
      <c r="N39" s="60"/>
      <c r="T39" s="60"/>
    </row>
    <row r="41" spans="1:26" ht="15.75" thickBot="1" x14ac:dyDescent="0.3"/>
    <row r="42" spans="1:26" x14ac:dyDescent="0.25">
      <c r="B42" s="112"/>
      <c r="C42" s="113"/>
      <c r="D42" s="114" t="s">
        <v>58</v>
      </c>
      <c r="E42" s="113"/>
      <c r="F42" s="113"/>
      <c r="G42" s="113"/>
      <c r="H42" s="113"/>
      <c r="I42" s="113"/>
      <c r="J42" s="113"/>
      <c r="K42" s="113"/>
      <c r="L42" s="113"/>
      <c r="M42" s="113"/>
      <c r="N42" s="115"/>
      <c r="O42" s="3"/>
      <c r="Q42" s="143" t="s">
        <v>99</v>
      </c>
      <c r="R42" s="144"/>
      <c r="S42" s="144"/>
      <c r="T42" s="145"/>
    </row>
    <row r="43" spans="1:26" ht="18" x14ac:dyDescent="0.25">
      <c r="B43" s="116"/>
      <c r="C43" s="117"/>
      <c r="D43" s="117"/>
      <c r="E43" s="117"/>
      <c r="F43" s="117"/>
      <c r="G43" s="117"/>
      <c r="H43" s="117"/>
      <c r="I43" s="117"/>
      <c r="J43" s="117"/>
      <c r="K43" s="117"/>
      <c r="L43" s="117"/>
      <c r="M43" s="117"/>
      <c r="N43" s="118"/>
      <c r="O43" s="3"/>
      <c r="Q43" s="146" t="s">
        <v>96</v>
      </c>
      <c r="R43" s="147" t="s">
        <v>92</v>
      </c>
      <c r="S43" s="147" t="s">
        <v>93</v>
      </c>
      <c r="T43" s="148" t="s">
        <v>94</v>
      </c>
    </row>
    <row r="44" spans="1:26" ht="15.75" thickBot="1" x14ac:dyDescent="0.3">
      <c r="B44" s="116" t="s">
        <v>27</v>
      </c>
      <c r="C44" s="117"/>
      <c r="D44" s="117" t="s">
        <v>0</v>
      </c>
      <c r="E44" s="117"/>
      <c r="F44" s="117"/>
      <c r="G44" s="117" t="s">
        <v>1</v>
      </c>
      <c r="H44" s="117"/>
      <c r="I44" s="117"/>
      <c r="J44" s="117" t="s">
        <v>2</v>
      </c>
      <c r="K44" s="117"/>
      <c r="L44" s="117"/>
      <c r="M44" s="117"/>
      <c r="N44" s="118"/>
      <c r="O44" s="3"/>
      <c r="Q44" s="146" t="s">
        <v>92</v>
      </c>
      <c r="R44" s="147">
        <v>1.82E-3</v>
      </c>
      <c r="S44" s="147">
        <v>0</v>
      </c>
      <c r="T44" s="148">
        <v>0</v>
      </c>
    </row>
    <row r="45" spans="1:26" ht="19.5" thickBot="1" x14ac:dyDescent="0.4">
      <c r="B45" s="116"/>
      <c r="C45" s="117"/>
      <c r="D45" s="119" t="s">
        <v>23</v>
      </c>
      <c r="E45" s="120">
        <f>(6378+325)*10^3</f>
        <v>6703000</v>
      </c>
      <c r="F45" s="117"/>
      <c r="G45" s="119" t="s">
        <v>8</v>
      </c>
      <c r="H45" s="120">
        <v>1367</v>
      </c>
      <c r="I45" s="117"/>
      <c r="J45" s="121" t="s">
        <v>18</v>
      </c>
      <c r="K45" s="122">
        <v>2.576E-11</v>
      </c>
      <c r="L45" s="117" t="s">
        <v>32</v>
      </c>
      <c r="M45" s="123" t="s">
        <v>24</v>
      </c>
      <c r="N45" s="124">
        <f>((E50^2+H53^2+K52^2))^0.5</f>
        <v>1.5919549692613082E-6</v>
      </c>
      <c r="O45" s="3"/>
      <c r="Q45" s="146" t="s">
        <v>93</v>
      </c>
      <c r="R45" s="147">
        <v>0</v>
      </c>
      <c r="S45" s="147">
        <v>1.8500000000000001E-3</v>
      </c>
      <c r="T45" s="148">
        <v>0</v>
      </c>
    </row>
    <row r="46" spans="1:26" ht="18.75" x14ac:dyDescent="0.35">
      <c r="B46" s="116"/>
      <c r="C46" s="117"/>
      <c r="D46" s="125" t="s">
        <v>3</v>
      </c>
      <c r="E46" s="126">
        <v>398600000000000</v>
      </c>
      <c r="F46" s="117"/>
      <c r="G46" s="127" t="s">
        <v>5</v>
      </c>
      <c r="H46" s="126">
        <v>300000000</v>
      </c>
      <c r="I46" s="117"/>
      <c r="J46" s="127" t="s">
        <v>17</v>
      </c>
      <c r="K46" s="128">
        <v>2</v>
      </c>
      <c r="L46" s="117" t="s">
        <v>33</v>
      </c>
      <c r="M46" s="129" t="s">
        <v>29</v>
      </c>
      <c r="N46" s="130">
        <f>2*10^-5</f>
        <v>2.0000000000000002E-5</v>
      </c>
      <c r="Q46" s="149" t="s">
        <v>94</v>
      </c>
      <c r="R46" s="150">
        <v>0</v>
      </c>
      <c r="S46" s="150">
        <v>0</v>
      </c>
      <c r="T46" s="151">
        <v>2.2000000000000001E-3</v>
      </c>
    </row>
    <row r="47" spans="1:26" ht="18.75" x14ac:dyDescent="0.35">
      <c r="B47" s="116"/>
      <c r="C47" s="117"/>
      <c r="D47" s="127" t="s">
        <v>25</v>
      </c>
      <c r="E47" s="128">
        <v>1.82E-3</v>
      </c>
      <c r="F47" s="117"/>
      <c r="G47" s="127" t="s">
        <v>9</v>
      </c>
      <c r="H47" s="131">
        <f>0.1^2*3*SQRT(3)</f>
        <v>5.1961524227066326E-2</v>
      </c>
      <c r="I47" s="117"/>
      <c r="J47" s="127" t="s">
        <v>16</v>
      </c>
      <c r="K47" s="131">
        <f>0.1^2*3*SQRT(3)</f>
        <v>5.1961524227066326E-2</v>
      </c>
      <c r="L47" s="132" t="s">
        <v>57</v>
      </c>
      <c r="M47" s="133" t="s">
        <v>28</v>
      </c>
      <c r="N47" s="134">
        <v>45</v>
      </c>
      <c r="O47" s="3"/>
    </row>
    <row r="48" spans="1:26" ht="18.75" x14ac:dyDescent="0.35">
      <c r="B48" s="116"/>
      <c r="C48" s="117"/>
      <c r="D48" s="127" t="s">
        <v>26</v>
      </c>
      <c r="E48" s="128">
        <v>2.2000000000000001E-3</v>
      </c>
      <c r="F48" s="117"/>
      <c r="G48" s="127" t="s">
        <v>10</v>
      </c>
      <c r="H48" s="128">
        <v>0</v>
      </c>
      <c r="I48" s="117"/>
      <c r="J48" s="127" t="s">
        <v>13</v>
      </c>
      <c r="K48" s="128">
        <f>(E46/E45)^(1/2)</f>
        <v>7711.4143181530017</v>
      </c>
      <c r="L48" s="135" t="s">
        <v>63</v>
      </c>
      <c r="M48" s="133" t="s">
        <v>30</v>
      </c>
      <c r="N48" s="134">
        <f>10*N45/(N46*SIN(N47*PI()/180))</f>
        <v>1.1256821541082926</v>
      </c>
      <c r="O48" s="3"/>
    </row>
    <row r="49" spans="2:15" ht="15.75" thickBot="1" x14ac:dyDescent="0.3">
      <c r="B49" s="116"/>
      <c r="C49" s="117"/>
      <c r="D49" s="125" t="s">
        <v>4</v>
      </c>
      <c r="E49" s="128" t="s">
        <v>31</v>
      </c>
      <c r="F49" s="117"/>
      <c r="G49" s="127" t="s">
        <v>6</v>
      </c>
      <c r="H49" s="128">
        <v>0.02</v>
      </c>
      <c r="I49" s="117"/>
      <c r="J49" s="127" t="s">
        <v>14</v>
      </c>
      <c r="K49" s="126">
        <f>0.5*K45*K46*K47*(K48)^2</f>
        <v>7.9596838016703938E-5</v>
      </c>
      <c r="L49" s="117"/>
      <c r="M49" s="117"/>
      <c r="N49" s="118"/>
      <c r="O49" s="3"/>
    </row>
    <row r="50" spans="2:15" ht="18.75" thickBot="1" x14ac:dyDescent="0.4">
      <c r="B50" s="116"/>
      <c r="C50" s="117"/>
      <c r="D50" s="123" t="s">
        <v>22</v>
      </c>
      <c r="E50" s="124">
        <f>(1.5*E46*ABS(E48-E47))/(E45)^3</f>
        <v>7.5440488487695745E-10</v>
      </c>
      <c r="F50" s="117"/>
      <c r="G50" s="127" t="s">
        <v>7</v>
      </c>
      <c r="H50" s="128">
        <v>0.6</v>
      </c>
      <c r="I50" s="117"/>
      <c r="J50" s="127" t="s">
        <v>19</v>
      </c>
      <c r="K50" s="128">
        <v>0</v>
      </c>
      <c r="L50" s="117"/>
      <c r="M50" s="136" t="s">
        <v>85</v>
      </c>
      <c r="N50" s="137">
        <f>0.532619</f>
        <v>0.53261899999999995</v>
      </c>
      <c r="O50" s="3"/>
    </row>
    <row r="51" spans="2:15" ht="19.5" thickBot="1" x14ac:dyDescent="0.4">
      <c r="B51" s="116"/>
      <c r="C51" s="117"/>
      <c r="D51" s="117"/>
      <c r="E51" s="117"/>
      <c r="F51" s="117"/>
      <c r="G51" s="127" t="s">
        <v>11</v>
      </c>
      <c r="H51" s="128">
        <v>0</v>
      </c>
      <c r="I51" s="117"/>
      <c r="J51" s="127" t="s">
        <v>15</v>
      </c>
      <c r="K51" s="128">
        <v>0.02</v>
      </c>
      <c r="L51" s="117"/>
      <c r="M51" s="117" t="s">
        <v>87</v>
      </c>
      <c r="N51" s="138">
        <f>N50*2</f>
        <v>1.0652379999999999</v>
      </c>
      <c r="O51" s="3"/>
    </row>
    <row r="52" spans="2:15" ht="18.75" thickBot="1" x14ac:dyDescent="0.4">
      <c r="B52" s="116"/>
      <c r="C52" s="117"/>
      <c r="D52" s="117"/>
      <c r="E52" s="117"/>
      <c r="F52" s="117"/>
      <c r="G52" s="127" t="s">
        <v>12</v>
      </c>
      <c r="H52" s="126">
        <f>H45*H47*(1+H50)*COS(H51)/H46</f>
        <v>3.788341526314649E-7</v>
      </c>
      <c r="I52" s="117"/>
      <c r="J52" s="123" t="s">
        <v>20</v>
      </c>
      <c r="K52" s="139">
        <f>K49*ABS(K50-K51)</f>
        <v>1.5919367603340788E-6</v>
      </c>
      <c r="L52" s="117"/>
      <c r="M52" s="117"/>
      <c r="N52" s="118"/>
    </row>
    <row r="53" spans="2:15" ht="18.75" thickBot="1" x14ac:dyDescent="0.4">
      <c r="B53" s="140"/>
      <c r="C53" s="141"/>
      <c r="D53" s="141"/>
      <c r="E53" s="141"/>
      <c r="F53" s="141"/>
      <c r="G53" s="123" t="s">
        <v>21</v>
      </c>
      <c r="H53" s="139">
        <f>H52*ABS(H48-H49)</f>
        <v>7.5766830526292975E-9</v>
      </c>
      <c r="I53" s="141"/>
      <c r="J53" s="141"/>
      <c r="K53" s="141"/>
      <c r="L53" s="141"/>
      <c r="M53" s="141"/>
      <c r="N53" s="142"/>
    </row>
  </sheetData>
  <mergeCells count="20">
    <mergeCell ref="I2:N2"/>
    <mergeCell ref="X2:Y2"/>
    <mergeCell ref="B4:C4"/>
    <mergeCell ref="I3:N3"/>
    <mergeCell ref="I4:N4"/>
    <mergeCell ref="R3:U3"/>
    <mergeCell ref="B6:C6"/>
    <mergeCell ref="B7:C7"/>
    <mergeCell ref="O26:Q26"/>
    <mergeCell ref="B3:C3"/>
    <mergeCell ref="H16:I16"/>
    <mergeCell ref="D16:E16"/>
    <mergeCell ref="L16:M16"/>
    <mergeCell ref="I10:N10"/>
    <mergeCell ref="I6:N6"/>
    <mergeCell ref="I7:N7"/>
    <mergeCell ref="I8:N8"/>
    <mergeCell ref="I9:N9"/>
    <mergeCell ref="I5:N5"/>
    <mergeCell ref="B5:C5"/>
  </mergeCells>
  <printOptions gridLines="1"/>
  <pageMargins left="0.7" right="0.7" top="0.75" bottom="0.75" header="0.3" footer="0.3"/>
  <pageSetup scale="53"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90" zoomScaleNormal="90" workbookViewId="0">
      <selection activeCell="J21" sqref="J21"/>
    </sheetView>
  </sheetViews>
  <sheetFormatPr defaultRowHeight="15" x14ac:dyDescent="0.25"/>
  <cols>
    <col min="5" max="5" width="12.85546875" customWidth="1"/>
    <col min="6" max="6" width="11.42578125" customWidth="1"/>
    <col min="9" max="9" width="13.85546875" customWidth="1"/>
    <col min="10" max="10" width="14" customWidth="1"/>
  </cols>
  <sheetData>
    <row r="1" spans="1:14" x14ac:dyDescent="0.25">
      <c r="A1" s="60" t="s">
        <v>199</v>
      </c>
    </row>
    <row r="3" spans="1:14" x14ac:dyDescent="0.25">
      <c r="B3" s="60"/>
    </row>
    <row r="4" spans="1:14" x14ac:dyDescent="0.25">
      <c r="B4" s="170" t="s">
        <v>144</v>
      </c>
      <c r="C4" s="170"/>
    </row>
    <row r="5" spans="1:14" x14ac:dyDescent="0.25">
      <c r="B5" s="168" t="s">
        <v>76</v>
      </c>
      <c r="C5" s="168"/>
    </row>
    <row r="6" spans="1:14" x14ac:dyDescent="0.25">
      <c r="A6" s="60"/>
      <c r="B6" s="168" t="s">
        <v>77</v>
      </c>
      <c r="C6" s="168"/>
    </row>
    <row r="7" spans="1:14" x14ac:dyDescent="0.25">
      <c r="A7" s="60"/>
      <c r="B7" s="168" t="s">
        <v>152</v>
      </c>
      <c r="C7" s="168"/>
    </row>
    <row r="8" spans="1:14" x14ac:dyDescent="0.25">
      <c r="A8" s="60"/>
      <c r="B8" s="91"/>
      <c r="C8" s="91"/>
      <c r="E8" s="177" t="s">
        <v>80</v>
      </c>
      <c r="F8" s="178"/>
      <c r="I8" s="177" t="s">
        <v>146</v>
      </c>
      <c r="J8" s="178"/>
    </row>
    <row r="9" spans="1:14" x14ac:dyDescent="0.25">
      <c r="E9" s="36" t="s">
        <v>81</v>
      </c>
      <c r="F9" s="37" t="s">
        <v>82</v>
      </c>
      <c r="I9" s="36" t="s">
        <v>81</v>
      </c>
      <c r="J9" s="37" t="s">
        <v>83</v>
      </c>
    </row>
    <row r="10" spans="1:14" x14ac:dyDescent="0.25">
      <c r="D10" s="185" t="s">
        <v>73</v>
      </c>
      <c r="E10" s="31" t="s">
        <v>66</v>
      </c>
      <c r="F10" s="32">
        <v>6.35</v>
      </c>
      <c r="I10" s="31" t="s">
        <v>75</v>
      </c>
      <c r="J10" s="32">
        <f>0.06*2.54</f>
        <v>0.15240000000000001</v>
      </c>
    </row>
    <row r="11" spans="1:14" x14ac:dyDescent="0.25">
      <c r="D11" s="185"/>
      <c r="E11" s="31" t="s">
        <v>67</v>
      </c>
      <c r="F11" s="32">
        <v>0.95250000000000001</v>
      </c>
      <c r="I11" s="31" t="s">
        <v>66</v>
      </c>
      <c r="J11" s="71">
        <v>7.5</v>
      </c>
    </row>
    <row r="12" spans="1:14" ht="17.25" x14ac:dyDescent="0.25">
      <c r="D12" s="185"/>
      <c r="E12" s="31" t="s">
        <v>68</v>
      </c>
      <c r="F12" s="32"/>
      <c r="H12" s="87"/>
      <c r="I12" s="31" t="s">
        <v>74</v>
      </c>
      <c r="J12" s="61">
        <f>PI()*(J11/100)*((J10/100)^2)/4</f>
        <v>1.3681101935632443E-7</v>
      </c>
      <c r="K12" s="60" t="s">
        <v>149</v>
      </c>
      <c r="N12" s="60"/>
    </row>
    <row r="13" spans="1:14" ht="18.75" x14ac:dyDescent="0.35">
      <c r="D13" s="185"/>
      <c r="E13" s="31" t="s">
        <v>74</v>
      </c>
      <c r="F13" s="33">
        <f>(F10)*PI()*((F11^2)/4)/1000000</f>
        <v>4.5247394422534371E-6</v>
      </c>
      <c r="G13" s="60" t="s">
        <v>91</v>
      </c>
      <c r="I13" s="31" t="s">
        <v>147</v>
      </c>
      <c r="J13" s="64">
        <f>'hysteresis data from vendors'!P16/10^4</f>
        <v>0.73</v>
      </c>
      <c r="K13" s="90" t="s">
        <v>151</v>
      </c>
    </row>
    <row r="14" spans="1:14" ht="17.25" customHeight="1" x14ac:dyDescent="0.35">
      <c r="D14" s="185"/>
      <c r="E14" s="31" t="s">
        <v>72</v>
      </c>
      <c r="F14" s="32">
        <v>1.32</v>
      </c>
      <c r="I14" s="34" t="s">
        <v>69</v>
      </c>
      <c r="J14" s="33">
        <f>4*PI()*0.0000001</f>
        <v>1.2566370614359173E-6</v>
      </c>
      <c r="M14" t="s">
        <v>91</v>
      </c>
    </row>
    <row r="15" spans="1:14" ht="18.75" x14ac:dyDescent="0.35">
      <c r="D15" s="185"/>
      <c r="E15" s="31" t="s">
        <v>71</v>
      </c>
      <c r="F15" s="32">
        <v>0.65820000000000001</v>
      </c>
      <c r="I15" s="1" t="s">
        <v>148</v>
      </c>
      <c r="J15" s="63">
        <f>J13*J12/J14</f>
        <v>7.9475647500000024E-2</v>
      </c>
    </row>
    <row r="16" spans="1:14" ht="18.75" customHeight="1" x14ac:dyDescent="0.25">
      <c r="E16" s="34" t="s">
        <v>69</v>
      </c>
      <c r="F16" s="33">
        <f>4*PI()*0.0000001</f>
        <v>1.2566370614359173E-6</v>
      </c>
      <c r="I16" s="19" t="s">
        <v>90</v>
      </c>
      <c r="J16" s="30">
        <f>8.747</f>
        <v>8.7469999999999999</v>
      </c>
    </row>
    <row r="17" spans="5:17" ht="19.5" thickBot="1" x14ac:dyDescent="0.4">
      <c r="E17" s="1" t="s">
        <v>70</v>
      </c>
      <c r="F17" s="35">
        <f>F14*F13/F16</f>
        <v>4.7528886796875005</v>
      </c>
      <c r="I17" s="19" t="s">
        <v>84</v>
      </c>
      <c r="J17" s="25">
        <f>J16*J12*100^3</f>
        <v>1.1966859863097699</v>
      </c>
    </row>
    <row r="18" spans="5:17" ht="18" thickBot="1" x14ac:dyDescent="0.3">
      <c r="E18" s="2" t="s">
        <v>60</v>
      </c>
      <c r="F18" s="28">
        <f>F15*F13/F16</f>
        <v>2.3699631280078126</v>
      </c>
    </row>
    <row r="19" spans="5:17" x14ac:dyDescent="0.25">
      <c r="E19" s="19" t="s">
        <v>84</v>
      </c>
      <c r="I19" s="60" t="s">
        <v>97</v>
      </c>
      <c r="J19" s="25">
        <f>J11/J10</f>
        <v>49.212598425196845</v>
      </c>
    </row>
    <row r="20" spans="5:17" x14ac:dyDescent="0.25">
      <c r="E20" s="19"/>
      <c r="I20" s="44" t="s">
        <v>150</v>
      </c>
      <c r="J20" s="89">
        <f>((J19*4/SQRT(PI()))+2)^-1</f>
        <v>8.8447874700645721E-3</v>
      </c>
    </row>
    <row r="21" spans="5:17" ht="17.25" x14ac:dyDescent="0.25">
      <c r="E21" t="s">
        <v>88</v>
      </c>
      <c r="G21" t="s">
        <v>91</v>
      </c>
      <c r="I21" s="16" t="s">
        <v>89</v>
      </c>
      <c r="J21" s="63">
        <f>PI()*(J11)*((J10)^2)/4</f>
        <v>0.13681101935632439</v>
      </c>
    </row>
    <row r="22" spans="5:17" x14ac:dyDescent="0.25">
      <c r="E22" s="41"/>
      <c r="F22" s="41"/>
      <c r="J22" s="60"/>
    </row>
    <row r="23" spans="5:17" ht="15" customHeight="1" x14ac:dyDescent="0.25">
      <c r="E23" s="43"/>
      <c r="F23" s="43"/>
      <c r="I23" s="38"/>
      <c r="J23" s="38"/>
      <c r="O23" s="16"/>
    </row>
    <row r="24" spans="5:17" ht="15" customHeight="1" x14ac:dyDescent="0.25">
      <c r="I24" s="45"/>
      <c r="J24" s="45"/>
      <c r="O24" s="16"/>
    </row>
    <row r="25" spans="5:17" x14ac:dyDescent="0.25">
      <c r="E25" s="60" t="s">
        <v>170</v>
      </c>
      <c r="O25" s="16"/>
    </row>
    <row r="26" spans="5:17" x14ac:dyDescent="0.25">
      <c r="E26" s="60" t="s">
        <v>171</v>
      </c>
      <c r="O26" s="16"/>
    </row>
    <row r="27" spans="5:17" x14ac:dyDescent="0.25">
      <c r="O27" s="16"/>
    </row>
    <row r="28" spans="5:17" x14ac:dyDescent="0.25">
      <c r="O28" s="16"/>
    </row>
    <row r="29" spans="5:17" x14ac:dyDescent="0.25">
      <c r="O29" s="24"/>
      <c r="P29" s="44"/>
      <c r="Q29" s="42"/>
    </row>
    <row r="30" spans="5:17" x14ac:dyDescent="0.25">
      <c r="O30" s="24"/>
      <c r="P30" s="44"/>
      <c r="Q30" s="42"/>
    </row>
    <row r="31" spans="5:17" ht="15" customHeight="1" x14ac:dyDescent="0.25">
      <c r="O31" s="44"/>
      <c r="P31" s="44"/>
      <c r="Q31" s="42"/>
    </row>
    <row r="32" spans="5:17" x14ac:dyDescent="0.25">
      <c r="O32" s="44"/>
      <c r="P32" s="44"/>
      <c r="Q32" s="42"/>
    </row>
    <row r="33" spans="15:17" x14ac:dyDescent="0.25">
      <c r="O33" s="44"/>
      <c r="P33" s="44"/>
      <c r="Q33" s="42"/>
    </row>
    <row r="34" spans="15:17" x14ac:dyDescent="0.25">
      <c r="O34" s="44"/>
      <c r="P34" s="44"/>
      <c r="Q34" s="42"/>
    </row>
    <row r="35" spans="15:17" x14ac:dyDescent="0.25">
      <c r="O35" s="44"/>
      <c r="P35" s="44"/>
      <c r="Q35" s="42"/>
    </row>
    <row r="36" spans="15:17" x14ac:dyDescent="0.25">
      <c r="O36" s="44"/>
      <c r="P36" s="44"/>
      <c r="Q36" s="42"/>
    </row>
    <row r="37" spans="15:17" x14ac:dyDescent="0.25">
      <c r="O37" s="44"/>
      <c r="P37" s="44"/>
      <c r="Q37" s="42"/>
    </row>
    <row r="38" spans="15:17" x14ac:dyDescent="0.25">
      <c r="O38" s="44"/>
      <c r="P38" s="44"/>
    </row>
    <row r="39" spans="15:17" x14ac:dyDescent="0.25">
      <c r="O39" s="44"/>
      <c r="P39" s="44"/>
    </row>
    <row r="40" spans="15:17" x14ac:dyDescent="0.25">
      <c r="O40" s="44"/>
      <c r="P40" s="44"/>
    </row>
    <row r="41" spans="15:17" x14ac:dyDescent="0.25">
      <c r="O41" s="44"/>
      <c r="P41" s="44"/>
    </row>
    <row r="42" spans="15:17" x14ac:dyDescent="0.25">
      <c r="O42" s="42"/>
      <c r="P42" s="42"/>
    </row>
  </sheetData>
  <mergeCells count="7">
    <mergeCell ref="B4:C4"/>
    <mergeCell ref="E8:F8"/>
    <mergeCell ref="I8:J8"/>
    <mergeCell ref="D10:D15"/>
    <mergeCell ref="B5:C5"/>
    <mergeCell ref="B6:C6"/>
    <mergeCell ref="B7:C7"/>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1"/>
  <sheetViews>
    <sheetView topLeftCell="A40" zoomScale="90" zoomScaleNormal="90" workbookViewId="0">
      <selection activeCell="P67" sqref="P67"/>
    </sheetView>
  </sheetViews>
  <sheetFormatPr defaultRowHeight="15" x14ac:dyDescent="0.25"/>
  <cols>
    <col min="1" max="1" width="9.140625" customWidth="1"/>
    <col min="2" max="2" width="9.7109375" style="60" bestFit="1" customWidth="1"/>
    <col min="3" max="4" width="9.140625" style="60" customWidth="1"/>
    <col min="5" max="5" width="9.140625" style="60"/>
    <col min="7" max="7" width="10.42578125" customWidth="1"/>
    <col min="8" max="8" width="11.85546875" customWidth="1"/>
    <col min="9" max="10" width="9.140625" customWidth="1"/>
    <col min="16" max="16" width="13" bestFit="1" customWidth="1"/>
  </cols>
  <sheetData>
    <row r="1" spans="1:26" x14ac:dyDescent="0.25">
      <c r="A1" s="60" t="s">
        <v>164</v>
      </c>
      <c r="F1" s="60"/>
      <c r="G1" s="60"/>
      <c r="H1" s="60"/>
      <c r="I1" s="60"/>
      <c r="J1" s="60"/>
      <c r="K1" s="60"/>
      <c r="L1" s="60"/>
      <c r="M1" s="60"/>
      <c r="N1" s="60"/>
      <c r="O1" s="60"/>
      <c r="P1" s="60"/>
      <c r="Q1" s="60"/>
      <c r="R1" s="60"/>
      <c r="S1" s="60"/>
      <c r="T1" s="60"/>
      <c r="U1" s="60"/>
      <c r="V1" s="60"/>
      <c r="W1" s="60"/>
      <c r="X1" s="60"/>
      <c r="Y1" s="60"/>
      <c r="Z1" s="60"/>
    </row>
    <row r="3" spans="1:26" x14ac:dyDescent="0.25">
      <c r="A3" s="60"/>
      <c r="B3" s="170" t="s">
        <v>144</v>
      </c>
      <c r="C3" s="170"/>
      <c r="D3" s="170"/>
      <c r="E3"/>
      <c r="F3" s="60"/>
      <c r="G3" s="60"/>
      <c r="H3" s="60"/>
      <c r="I3" s="60"/>
    </row>
    <row r="4" spans="1:26" x14ac:dyDescent="0.25">
      <c r="B4" s="168" t="s">
        <v>137</v>
      </c>
      <c r="C4" s="168"/>
      <c r="D4" s="168"/>
      <c r="E4"/>
      <c r="F4" s="66" t="s">
        <v>115</v>
      </c>
      <c r="G4" s="190" t="s">
        <v>117</v>
      </c>
      <c r="H4" s="191"/>
      <c r="I4" s="191"/>
      <c r="J4" s="191"/>
      <c r="K4" s="191"/>
      <c r="L4" s="191"/>
      <c r="M4" s="191"/>
      <c r="N4" s="192"/>
      <c r="O4" s="190" t="s">
        <v>116</v>
      </c>
      <c r="P4" s="191"/>
      <c r="Q4" s="192"/>
    </row>
    <row r="5" spans="1:26" ht="18" x14ac:dyDescent="0.25">
      <c r="A5" s="60"/>
      <c r="B5" s="168" t="s">
        <v>138</v>
      </c>
      <c r="C5" s="168"/>
      <c r="D5" s="168"/>
      <c r="E5"/>
      <c r="F5" s="66" t="s">
        <v>120</v>
      </c>
      <c r="G5" s="190" t="s">
        <v>118</v>
      </c>
      <c r="H5" s="191"/>
      <c r="I5" s="191"/>
      <c r="J5" s="191"/>
      <c r="K5" s="191"/>
      <c r="L5" s="191"/>
      <c r="M5" s="191"/>
      <c r="N5" s="192"/>
      <c r="O5" s="190" t="s">
        <v>119</v>
      </c>
      <c r="P5" s="191"/>
      <c r="Q5" s="192"/>
      <c r="U5" s="60"/>
    </row>
    <row r="6" spans="1:26" ht="18" x14ac:dyDescent="0.25">
      <c r="A6" s="60"/>
      <c r="B6" s="168" t="s">
        <v>139</v>
      </c>
      <c r="C6" s="168"/>
      <c r="D6" s="168"/>
      <c r="E6"/>
      <c r="F6" s="66" t="s">
        <v>121</v>
      </c>
      <c r="G6" s="190" t="s">
        <v>122</v>
      </c>
      <c r="H6" s="191"/>
      <c r="I6" s="191"/>
      <c r="J6" s="191"/>
      <c r="K6" s="191"/>
      <c r="L6" s="191"/>
      <c r="M6" s="191"/>
      <c r="N6" s="192"/>
      <c r="O6" s="190" t="s">
        <v>119</v>
      </c>
      <c r="P6" s="191"/>
      <c r="Q6" s="192"/>
    </row>
    <row r="7" spans="1:26" ht="18" x14ac:dyDescent="0.25">
      <c r="A7" s="60"/>
      <c r="B7" s="168" t="s">
        <v>140</v>
      </c>
      <c r="C7" s="168"/>
      <c r="D7" s="168"/>
      <c r="E7"/>
      <c r="F7" s="66" t="s">
        <v>123</v>
      </c>
      <c r="G7" s="190" t="s">
        <v>124</v>
      </c>
      <c r="H7" s="191"/>
      <c r="I7" s="191"/>
      <c r="J7" s="191"/>
      <c r="K7" s="191"/>
      <c r="L7" s="191"/>
      <c r="M7" s="191"/>
      <c r="N7" s="192"/>
      <c r="O7" s="190" t="s">
        <v>125</v>
      </c>
      <c r="P7" s="191"/>
      <c r="Q7" s="192"/>
    </row>
    <row r="8" spans="1:26" x14ac:dyDescent="0.25">
      <c r="A8" s="60"/>
      <c r="E8"/>
      <c r="F8" s="38" t="s">
        <v>141</v>
      </c>
      <c r="G8" s="72" t="s">
        <v>143</v>
      </c>
      <c r="H8" s="72"/>
      <c r="I8" s="72"/>
      <c r="J8" s="72"/>
      <c r="K8" s="72"/>
      <c r="L8" s="72"/>
      <c r="M8" s="72"/>
      <c r="N8" s="72"/>
      <c r="O8" s="60"/>
      <c r="P8" s="60"/>
      <c r="Q8" s="60"/>
    </row>
    <row r="9" spans="1:26" x14ac:dyDescent="0.25">
      <c r="A9" s="60"/>
      <c r="E9"/>
      <c r="G9" s="60" t="s">
        <v>142</v>
      </c>
      <c r="H9" s="60"/>
      <c r="I9" s="60"/>
      <c r="J9" s="60"/>
      <c r="K9" s="60"/>
      <c r="L9" s="60"/>
    </row>
    <row r="10" spans="1:26" x14ac:dyDescent="0.25">
      <c r="G10" s="60" t="s">
        <v>165</v>
      </c>
    </row>
    <row r="11" spans="1:26" x14ac:dyDescent="0.25">
      <c r="G11" s="60"/>
      <c r="H11" s="60"/>
      <c r="I11" s="60"/>
      <c r="J11" s="60"/>
      <c r="K11" s="60"/>
      <c r="L11" s="60"/>
    </row>
    <row r="12" spans="1:26" x14ac:dyDescent="0.25">
      <c r="G12" s="60"/>
      <c r="H12" s="60"/>
      <c r="I12" s="60"/>
      <c r="J12" s="60"/>
      <c r="K12" s="60"/>
      <c r="L12" s="60"/>
    </row>
    <row r="13" spans="1:26" x14ac:dyDescent="0.25">
      <c r="C13" s="177" t="s">
        <v>113</v>
      </c>
      <c r="D13" s="188"/>
      <c r="E13" s="188"/>
      <c r="F13" s="188"/>
      <c r="G13" s="188"/>
      <c r="H13" s="188"/>
      <c r="I13" s="188"/>
      <c r="J13" s="178"/>
      <c r="M13" s="177" t="s">
        <v>145</v>
      </c>
      <c r="N13" s="188"/>
      <c r="O13" s="188"/>
      <c r="P13" s="188"/>
      <c r="Q13" s="188"/>
      <c r="R13" s="188"/>
      <c r="S13" s="188"/>
      <c r="T13" s="188"/>
      <c r="U13" s="178"/>
    </row>
    <row r="14" spans="1:26" x14ac:dyDescent="0.25">
      <c r="C14" s="186" t="s">
        <v>114</v>
      </c>
      <c r="D14" s="187"/>
      <c r="E14" s="187"/>
      <c r="F14" s="187"/>
      <c r="G14" s="187"/>
      <c r="H14" s="187"/>
      <c r="I14" s="187"/>
      <c r="J14" s="189"/>
      <c r="M14" s="186" t="s">
        <v>133</v>
      </c>
      <c r="N14" s="187"/>
      <c r="O14" s="187"/>
      <c r="P14" s="187"/>
      <c r="Q14" s="187"/>
      <c r="R14" s="187"/>
      <c r="S14" s="187"/>
      <c r="T14" s="187"/>
      <c r="U14" s="189"/>
    </row>
    <row r="15" spans="1:26" x14ac:dyDescent="0.25">
      <c r="C15" s="31"/>
      <c r="D15" s="16"/>
      <c r="E15" s="16"/>
      <c r="F15" s="16"/>
      <c r="G15" s="16"/>
      <c r="H15" s="16"/>
      <c r="I15" s="16"/>
      <c r="J15" s="61"/>
      <c r="K15" s="16"/>
      <c r="L15" s="16"/>
      <c r="M15" s="31"/>
      <c r="N15" s="16"/>
      <c r="O15" s="16"/>
      <c r="P15" s="16"/>
      <c r="Q15" s="16"/>
      <c r="R15" s="16"/>
      <c r="S15" s="16"/>
      <c r="T15" s="16"/>
      <c r="U15" s="61"/>
    </row>
    <row r="16" spans="1:26" x14ac:dyDescent="0.25">
      <c r="C16" s="31"/>
      <c r="D16" s="16"/>
      <c r="E16" s="76" t="s">
        <v>126</v>
      </c>
      <c r="F16" s="76">
        <v>7500</v>
      </c>
      <c r="G16" s="16"/>
      <c r="H16" s="78"/>
      <c r="I16" s="78"/>
      <c r="J16" s="79"/>
      <c r="K16" s="78"/>
      <c r="L16" s="16"/>
      <c r="M16" s="31"/>
      <c r="N16" s="16"/>
      <c r="O16" s="76" t="s">
        <v>126</v>
      </c>
      <c r="P16" s="76">
        <v>7300</v>
      </c>
      <c r="Q16" s="16"/>
      <c r="R16" s="78"/>
      <c r="S16" s="78"/>
      <c r="T16" s="78"/>
      <c r="U16" s="61"/>
    </row>
    <row r="17" spans="3:21" x14ac:dyDescent="0.25">
      <c r="C17" s="31"/>
      <c r="D17" s="16"/>
      <c r="E17" s="76" t="s">
        <v>127</v>
      </c>
      <c r="F17" s="76">
        <v>3700</v>
      </c>
      <c r="G17" s="16"/>
      <c r="H17" s="24"/>
      <c r="I17" s="24"/>
      <c r="J17" s="77"/>
      <c r="K17" s="24"/>
      <c r="L17" s="16"/>
      <c r="M17" s="31"/>
      <c r="N17" s="16"/>
      <c r="O17" s="76" t="s">
        <v>127</v>
      </c>
      <c r="P17" s="76">
        <v>3500</v>
      </c>
      <c r="Q17" s="16"/>
      <c r="R17" s="24"/>
      <c r="S17" s="24"/>
      <c r="T17" s="24"/>
      <c r="U17" s="61"/>
    </row>
    <row r="18" spans="3:21" x14ac:dyDescent="0.25">
      <c r="C18" s="31"/>
      <c r="D18" s="16"/>
      <c r="E18" s="76" t="s">
        <v>128</v>
      </c>
      <c r="F18" s="76">
        <v>1.4999999999999999E-2</v>
      </c>
      <c r="G18" s="16"/>
      <c r="H18" s="16"/>
      <c r="I18" s="16"/>
      <c r="J18" s="61"/>
      <c r="K18" s="16"/>
      <c r="L18" s="16"/>
      <c r="M18" s="31"/>
      <c r="N18" s="16"/>
      <c r="O18" s="76" t="s">
        <v>128</v>
      </c>
      <c r="P18" s="76">
        <v>0.02</v>
      </c>
      <c r="Q18" s="16"/>
      <c r="R18" s="16"/>
      <c r="S18" s="16"/>
      <c r="T18" s="16"/>
      <c r="U18" s="61"/>
    </row>
    <row r="19" spans="3:21" x14ac:dyDescent="0.25">
      <c r="C19" s="31"/>
      <c r="D19" s="16"/>
      <c r="E19" s="85" t="s">
        <v>135</v>
      </c>
      <c r="F19" s="86">
        <f>9*0.0000001</f>
        <v>8.9999999999999996E-7</v>
      </c>
      <c r="G19" s="16"/>
      <c r="H19" s="16"/>
      <c r="I19" s="16"/>
      <c r="J19" s="61"/>
      <c r="K19" s="16"/>
      <c r="L19" s="16"/>
      <c r="M19" s="31"/>
      <c r="N19" s="16"/>
      <c r="O19" s="85" t="s">
        <v>134</v>
      </c>
      <c r="P19" s="86">
        <f>16*0.0000001</f>
        <v>1.5999999999999999E-6</v>
      </c>
      <c r="Q19" s="16"/>
      <c r="R19" s="16"/>
      <c r="S19" s="16"/>
      <c r="T19" s="16"/>
      <c r="U19" s="61"/>
    </row>
    <row r="20" spans="3:21" x14ac:dyDescent="0.25">
      <c r="C20" s="31"/>
      <c r="D20" s="16"/>
      <c r="E20" s="16"/>
      <c r="F20" s="16"/>
      <c r="G20" s="16"/>
      <c r="H20" s="16"/>
      <c r="I20" s="16"/>
      <c r="J20" s="61"/>
      <c r="K20" s="16"/>
      <c r="L20" s="16"/>
      <c r="M20" s="31"/>
      <c r="N20" s="16"/>
      <c r="O20" s="16"/>
      <c r="P20" s="16"/>
      <c r="Q20" s="16"/>
      <c r="R20" s="16"/>
      <c r="S20" s="16"/>
      <c r="T20" s="16"/>
      <c r="U20" s="61"/>
    </row>
    <row r="21" spans="3:21" x14ac:dyDescent="0.25">
      <c r="C21" s="80" t="s">
        <v>129</v>
      </c>
      <c r="D21" s="81" t="s">
        <v>130</v>
      </c>
      <c r="E21" s="81" t="s">
        <v>131</v>
      </c>
      <c r="F21" s="16"/>
      <c r="G21" s="16"/>
      <c r="H21" s="16"/>
      <c r="I21" s="16"/>
      <c r="J21" s="61"/>
      <c r="K21" s="16"/>
      <c r="L21" s="16"/>
      <c r="M21" s="80" t="s">
        <v>129</v>
      </c>
      <c r="N21" s="81" t="s">
        <v>130</v>
      </c>
      <c r="O21" s="81" t="s">
        <v>131</v>
      </c>
      <c r="P21" s="16"/>
      <c r="Q21" s="16"/>
      <c r="R21" s="16"/>
      <c r="S21" s="16"/>
      <c r="T21" s="16"/>
      <c r="U21" s="61"/>
    </row>
    <row r="22" spans="3:21" x14ac:dyDescent="0.25">
      <c r="C22" s="82">
        <v>-0.2</v>
      </c>
      <c r="D22" s="83">
        <f>(2*$F$16/PI())*ATAN((1/$F$18)*TAN((PI()*$F$17/(2*$F$16))*(C22+$F$18)))</f>
        <v>-7005.6266364943003</v>
      </c>
      <c r="E22" s="83">
        <f>(2*$F$16/PI())*ATAN((1/$F$18)*TAN((PI()*$F$17/(2*$F$16))*(C22-$F$18)))</f>
        <v>-7075.2422158270283</v>
      </c>
      <c r="F22" s="84">
        <f>ABS((0.5*((E22-D22)+(E23-D23)))*(C23-C22))</f>
        <v>0.73329707517930343</v>
      </c>
      <c r="G22" s="16"/>
      <c r="H22" s="16"/>
      <c r="I22" s="16"/>
      <c r="J22" s="61"/>
      <c r="K22" s="16"/>
      <c r="L22" s="16"/>
      <c r="M22" s="82">
        <v>-0.2</v>
      </c>
      <c r="N22" s="83">
        <f>(2*$P$16/PI())*ATAN((1/$P$18)*TAN((PI()*$P$17/(2*$P$16))*(M22+$P$18)))</f>
        <v>-6623.3879046656975</v>
      </c>
      <c r="O22" s="83">
        <f>(2*$P$16/PI())*ATAN((1/$P$18)*TAN((PI()*$P$17/(2*$P$16))*(M22-$P$18)))</f>
        <v>-6746.7933871773048</v>
      </c>
      <c r="P22" s="84">
        <f>ABS((0.5*((O22-N22)+(O23-N23)))*(M23-M22))</f>
        <v>1.2996153109302544</v>
      </c>
      <c r="Q22" s="16"/>
      <c r="R22" s="16"/>
      <c r="S22" s="16"/>
      <c r="T22" s="16"/>
      <c r="U22" s="61"/>
    </row>
    <row r="23" spans="3:21" x14ac:dyDescent="0.25">
      <c r="C23" s="82">
        <f>C22+0.01</f>
        <v>-0.19</v>
      </c>
      <c r="D23" s="83">
        <f t="shared" ref="D23:D62" si="0">(2*$F$16/PI())*ATAN((1/$F$18)*TAN((PI()*$F$17/(2*$F$16))*(C23+$F$18)))</f>
        <v>-6977.2186291019325</v>
      </c>
      <c r="E23" s="83">
        <f t="shared" ref="E23:E62" si="1">(2*$F$16/PI())*ATAN((1/$F$18)*TAN((PI()*$F$17/(2*$F$16))*(C23-$F$18)))</f>
        <v>-7054.2624648050651</v>
      </c>
      <c r="F23" s="84">
        <f t="shared" ref="F23:F62" si="2">ABS((0.5*((E23-D23)+(E24-D24)))*(C24-C23))</f>
        <v>0.81390023724344773</v>
      </c>
      <c r="G23" s="16"/>
      <c r="H23" s="16"/>
      <c r="I23" s="16"/>
      <c r="J23" s="61"/>
      <c r="K23" s="16"/>
      <c r="L23" s="16"/>
      <c r="M23" s="82">
        <f>M22+0.01</f>
        <v>-0.19</v>
      </c>
      <c r="N23" s="83">
        <f t="shared" ref="N23:N62" si="3">(2*$P$16/PI())*ATAN((1/$P$18)*TAN((PI()*$P$17/(2*$P$16))*(M23+$P$18)))</f>
        <v>-6583.7265342921146</v>
      </c>
      <c r="O23" s="83">
        <f t="shared" ref="O23:O62" si="4">(2*$P$16/PI())*ATAN((1/$P$18)*TAN((PI()*$P$17/(2*$P$16))*(M23-$P$18)))</f>
        <v>-6720.244113966558</v>
      </c>
      <c r="P23" s="84">
        <f t="shared" ref="P23:P62" si="5">ABS((0.5*((O23-N23)+(O24-N24)))*(M24-M23))</f>
        <v>1.4418144083286837</v>
      </c>
      <c r="Q23" s="16"/>
      <c r="R23" s="16"/>
      <c r="S23" s="16"/>
      <c r="T23" s="16"/>
      <c r="U23" s="61"/>
    </row>
    <row r="24" spans="3:21" x14ac:dyDescent="0.25">
      <c r="C24" s="82">
        <f t="shared" ref="C24:C62" si="6">C23+0.01</f>
        <v>-0.18</v>
      </c>
      <c r="D24" s="83">
        <f t="shared" si="0"/>
        <v>-6945.433738711984</v>
      </c>
      <c r="E24" s="83">
        <f t="shared" si="1"/>
        <v>-7031.1699504575408</v>
      </c>
      <c r="F24" s="84">
        <f t="shared" si="2"/>
        <v>0.9086611303433173</v>
      </c>
      <c r="G24" s="16"/>
      <c r="H24" s="16"/>
      <c r="I24" s="16"/>
      <c r="J24" s="61"/>
      <c r="K24" s="16"/>
      <c r="L24" s="16"/>
      <c r="M24" s="82">
        <f t="shared" ref="M24:M62" si="7">M23+0.01</f>
        <v>-0.18</v>
      </c>
      <c r="N24" s="83">
        <f t="shared" si="3"/>
        <v>-6539.2617130836297</v>
      </c>
      <c r="O24" s="83">
        <f t="shared" si="4"/>
        <v>-6691.1070150749229</v>
      </c>
      <c r="P24" s="84">
        <f t="shared" si="5"/>
        <v>1.60880064947252</v>
      </c>
      <c r="Q24" s="16"/>
      <c r="R24" s="16"/>
      <c r="S24" s="16"/>
      <c r="T24" s="16"/>
      <c r="U24" s="61"/>
    </row>
    <row r="25" spans="3:21" x14ac:dyDescent="0.25">
      <c r="C25" s="82">
        <f t="shared" si="6"/>
        <v>-0.16999999999999998</v>
      </c>
      <c r="D25" s="83">
        <f t="shared" si="0"/>
        <v>-6909.6306221711939</v>
      </c>
      <c r="E25" s="83">
        <f t="shared" si="1"/>
        <v>-7005.6266364943003</v>
      </c>
      <c r="F25" s="84">
        <f t="shared" si="2"/>
        <v>1.021095224914262</v>
      </c>
      <c r="G25" s="16"/>
      <c r="H25" s="16"/>
      <c r="I25" s="16"/>
      <c r="J25" s="61"/>
      <c r="K25" s="16"/>
      <c r="L25" s="16"/>
      <c r="M25" s="82">
        <f t="shared" si="7"/>
        <v>-0.16999999999999998</v>
      </c>
      <c r="N25" s="83">
        <f t="shared" si="3"/>
        <v>-6489.0683510564095</v>
      </c>
      <c r="O25" s="83">
        <f t="shared" si="4"/>
        <v>-6658.9831789596201</v>
      </c>
      <c r="P25" s="84">
        <f t="shared" si="5"/>
        <v>1.80666058841866</v>
      </c>
      <c r="Q25" s="16"/>
      <c r="R25" s="16"/>
      <c r="S25" s="16"/>
      <c r="T25" s="16"/>
      <c r="U25" s="61"/>
    </row>
    <row r="26" spans="3:21" x14ac:dyDescent="0.25">
      <c r="C26" s="82">
        <f t="shared" si="6"/>
        <v>-0.15999999999999998</v>
      </c>
      <c r="D26" s="83">
        <f t="shared" si="0"/>
        <v>-6868.9955984421867</v>
      </c>
      <c r="E26" s="83">
        <f t="shared" si="1"/>
        <v>-6977.2186291019325</v>
      </c>
      <c r="F26" s="84">
        <f t="shared" si="2"/>
        <v>1.1558787029208462</v>
      </c>
      <c r="G26" s="16"/>
      <c r="H26" s="16"/>
      <c r="I26" s="16"/>
      <c r="J26" s="61"/>
      <c r="K26" s="16"/>
      <c r="L26" s="16"/>
      <c r="M26" s="82">
        <f t="shared" si="7"/>
        <v>-0.15999999999999998</v>
      </c>
      <c r="N26" s="83">
        <f t="shared" si="3"/>
        <v>-6431.9706148851765</v>
      </c>
      <c r="O26" s="83">
        <f t="shared" si="4"/>
        <v>-6623.3879046656975</v>
      </c>
      <c r="P26" s="84">
        <f t="shared" si="5"/>
        <v>2.0434584524271457</v>
      </c>
      <c r="Q26" s="16"/>
      <c r="R26" s="16"/>
      <c r="S26" s="16"/>
      <c r="T26" s="16"/>
      <c r="U26" s="61"/>
    </row>
    <row r="27" spans="3:21" x14ac:dyDescent="0.25">
      <c r="C27" s="82">
        <f t="shared" si="6"/>
        <v>-0.14999999999999997</v>
      </c>
      <c r="D27" s="83">
        <f t="shared" si="0"/>
        <v>-6822.4810287875607</v>
      </c>
      <c r="E27" s="83">
        <f t="shared" si="1"/>
        <v>-6945.433738711984</v>
      </c>
      <c r="F27" s="84">
        <f t="shared" si="2"/>
        <v>1.3193393517110201</v>
      </c>
      <c r="G27" s="16"/>
      <c r="H27" s="16"/>
      <c r="I27" s="16"/>
      <c r="J27" s="61"/>
      <c r="K27" s="16"/>
      <c r="L27" s="16"/>
      <c r="M27" s="82">
        <f t="shared" si="7"/>
        <v>-0.14999999999999997</v>
      </c>
      <c r="N27" s="83">
        <f t="shared" si="3"/>
        <v>-6366.4521335872068</v>
      </c>
      <c r="O27" s="83">
        <f t="shared" si="4"/>
        <v>-6583.7265342921146</v>
      </c>
      <c r="P27" s="84">
        <f t="shared" si="5"/>
        <v>2.3300535976179138</v>
      </c>
      <c r="Q27" s="16"/>
      <c r="R27" s="16"/>
      <c r="S27" s="16"/>
      <c r="T27" s="16"/>
      <c r="U27" s="61"/>
    </row>
    <row r="28" spans="3:21" x14ac:dyDescent="0.25">
      <c r="C28" s="82">
        <f t="shared" si="6"/>
        <v>-0.13999999999999996</v>
      </c>
      <c r="D28" s="83">
        <f t="shared" si="0"/>
        <v>-6768.7154617534134</v>
      </c>
      <c r="E28" s="83">
        <f t="shared" si="1"/>
        <v>-6909.6306221711939</v>
      </c>
      <c r="F28" s="84">
        <f t="shared" si="2"/>
        <v>1.5202069467709467</v>
      </c>
      <c r="G28" s="16"/>
      <c r="H28" s="16"/>
      <c r="I28" s="16"/>
      <c r="J28" s="61"/>
      <c r="K28" s="16"/>
      <c r="L28" s="16"/>
      <c r="M28" s="82">
        <f t="shared" si="7"/>
        <v>-0.13999999999999996</v>
      </c>
      <c r="N28" s="83">
        <f t="shared" si="3"/>
        <v>-6290.5253942649542</v>
      </c>
      <c r="O28" s="83">
        <f t="shared" si="4"/>
        <v>-6539.2617130836288</v>
      </c>
      <c r="P28" s="84">
        <f t="shared" si="5"/>
        <v>2.6813360341412977</v>
      </c>
      <c r="Q28" s="16"/>
      <c r="R28" s="16"/>
      <c r="S28" s="16"/>
      <c r="T28" s="16"/>
      <c r="U28" s="61"/>
    </row>
    <row r="29" spans="3:21" x14ac:dyDescent="0.25">
      <c r="C29" s="82">
        <f t="shared" si="6"/>
        <v>-0.12999999999999995</v>
      </c>
      <c r="D29" s="83">
        <f t="shared" si="0"/>
        <v>-6705.8693695057782</v>
      </c>
      <c r="E29" s="83">
        <f t="shared" si="1"/>
        <v>-6868.9955984421867</v>
      </c>
      <c r="F29" s="84">
        <f t="shared" si="2"/>
        <v>1.7707916843111606</v>
      </c>
      <c r="G29" s="16"/>
      <c r="H29" s="16"/>
      <c r="I29" s="16"/>
      <c r="J29" s="61"/>
      <c r="K29" s="16"/>
      <c r="L29" s="16"/>
      <c r="M29" s="82">
        <f t="shared" si="7"/>
        <v>-0.12999999999999995</v>
      </c>
      <c r="N29" s="83">
        <f t="shared" si="3"/>
        <v>-6201.537463046825</v>
      </c>
      <c r="O29" s="83">
        <f t="shared" si="4"/>
        <v>-6489.0683510564095</v>
      </c>
      <c r="P29" s="84">
        <f t="shared" si="5"/>
        <v>3.1181387389509139</v>
      </c>
      <c r="Q29" s="16"/>
      <c r="R29" s="16"/>
      <c r="S29" s="16"/>
      <c r="T29" s="16"/>
      <c r="U29" s="61"/>
    </row>
    <row r="30" spans="3:21" x14ac:dyDescent="0.25">
      <c r="C30" s="82">
        <f t="shared" si="6"/>
        <v>-0.11999999999999995</v>
      </c>
      <c r="D30" s="83">
        <f t="shared" si="0"/>
        <v>-6631.448920861737</v>
      </c>
      <c r="E30" s="83">
        <f t="shared" si="1"/>
        <v>-6822.4810287875607</v>
      </c>
      <c r="F30" s="84">
        <f t="shared" si="2"/>
        <v>2.0888921257229129</v>
      </c>
      <c r="G30" s="16"/>
      <c r="H30" s="16"/>
      <c r="I30" s="16"/>
      <c r="J30" s="61"/>
      <c r="K30" s="16"/>
      <c r="L30" s="16"/>
      <c r="M30" s="82">
        <f t="shared" si="7"/>
        <v>-0.11999999999999995</v>
      </c>
      <c r="N30" s="83">
        <f t="shared" si="3"/>
        <v>-6095.8737551045779</v>
      </c>
      <c r="O30" s="83">
        <f t="shared" si="4"/>
        <v>-6431.9706148851765</v>
      </c>
      <c r="P30" s="84">
        <f t="shared" si="5"/>
        <v>3.6702750135792601</v>
      </c>
      <c r="Q30" s="16"/>
      <c r="R30" s="16"/>
      <c r="S30" s="16"/>
      <c r="T30" s="16"/>
      <c r="U30" s="61"/>
    </row>
    <row r="31" spans="3:21" x14ac:dyDescent="0.25">
      <c r="C31" s="82">
        <f t="shared" si="6"/>
        <v>-0.10999999999999996</v>
      </c>
      <c r="D31" s="83">
        <f t="shared" si="0"/>
        <v>-6541.9691445346543</v>
      </c>
      <c r="E31" s="83">
        <f t="shared" si="1"/>
        <v>-6768.7154617534134</v>
      </c>
      <c r="F31" s="84">
        <f t="shared" si="2"/>
        <v>2.5009929250584024</v>
      </c>
      <c r="G31" s="16"/>
      <c r="H31" s="16"/>
      <c r="I31" s="16"/>
      <c r="J31" s="61"/>
      <c r="K31" s="16"/>
      <c r="L31" s="16"/>
      <c r="M31" s="82">
        <f t="shared" si="7"/>
        <v>-0.10999999999999996</v>
      </c>
      <c r="N31" s="83">
        <f t="shared" si="3"/>
        <v>-5968.493990651953</v>
      </c>
      <c r="O31" s="83">
        <f t="shared" si="4"/>
        <v>-6366.4521335872068</v>
      </c>
      <c r="P31" s="84">
        <f t="shared" si="5"/>
        <v>4.3814983942655612</v>
      </c>
      <c r="Q31" s="16"/>
      <c r="R31" s="16"/>
      <c r="S31" s="16"/>
      <c r="T31" s="16"/>
      <c r="U31" s="61"/>
    </row>
    <row r="32" spans="3:21" x14ac:dyDescent="0.25">
      <c r="C32" s="82">
        <f t="shared" si="6"/>
        <v>-9.9999999999999964E-2</v>
      </c>
      <c r="D32" s="83">
        <f t="shared" si="0"/>
        <v>-6432.4171017128565</v>
      </c>
      <c r="E32" s="83">
        <f t="shared" si="1"/>
        <v>-6705.8693695057782</v>
      </c>
      <c r="F32" s="84">
        <f t="shared" si="2"/>
        <v>3.0478391560325493</v>
      </c>
      <c r="G32" s="16"/>
      <c r="H32" s="16"/>
      <c r="I32" s="16"/>
      <c r="J32" s="61"/>
      <c r="K32" s="16"/>
      <c r="L32" s="16"/>
      <c r="M32" s="82">
        <f t="shared" si="7"/>
        <v>-9.9999999999999964E-2</v>
      </c>
      <c r="N32" s="83">
        <f t="shared" si="3"/>
        <v>-5812.1838583470953</v>
      </c>
      <c r="O32" s="83">
        <f t="shared" si="4"/>
        <v>-6290.5253942649542</v>
      </c>
      <c r="P32" s="84">
        <f t="shared" si="5"/>
        <v>5.3178381430462034</v>
      </c>
      <c r="Q32" s="16"/>
      <c r="R32" s="16"/>
      <c r="S32" s="16"/>
      <c r="T32" s="16"/>
      <c r="U32" s="61"/>
    </row>
    <row r="33" spans="3:21" x14ac:dyDescent="0.25">
      <c r="C33" s="82">
        <f t="shared" si="6"/>
        <v>-8.9999999999999969E-2</v>
      </c>
      <c r="D33" s="83">
        <f t="shared" si="0"/>
        <v>-6295.3333574481485</v>
      </c>
      <c r="E33" s="83">
        <f t="shared" si="1"/>
        <v>-6631.448920861737</v>
      </c>
      <c r="F33" s="84">
        <f t="shared" si="2"/>
        <v>3.7945970794067563</v>
      </c>
      <c r="G33" s="16"/>
      <c r="H33" s="16"/>
      <c r="I33" s="16"/>
      <c r="J33" s="61"/>
      <c r="K33" s="16"/>
      <c r="L33" s="16"/>
      <c r="M33" s="82">
        <f t="shared" si="7"/>
        <v>-8.9999999999999969E-2</v>
      </c>
      <c r="N33" s="83">
        <f t="shared" si="3"/>
        <v>-5616.3113703554445</v>
      </c>
      <c r="O33" s="83">
        <f t="shared" si="4"/>
        <v>-6201.5374630468268</v>
      </c>
      <c r="P33" s="84">
        <f t="shared" si="5"/>
        <v>6.5819963323064679</v>
      </c>
      <c r="Q33" s="16"/>
      <c r="R33" s="16"/>
      <c r="S33" s="16"/>
      <c r="T33" s="16"/>
      <c r="U33" s="61"/>
    </row>
    <row r="34" spans="3:21" x14ac:dyDescent="0.25">
      <c r="C34" s="82">
        <f t="shared" si="6"/>
        <v>-7.9999999999999974E-2</v>
      </c>
      <c r="D34" s="83">
        <f t="shared" si="0"/>
        <v>-6119.1652920668921</v>
      </c>
      <c r="E34" s="83">
        <f t="shared" si="1"/>
        <v>-6541.9691445346552</v>
      </c>
      <c r="F34" s="84">
        <f t="shared" si="2"/>
        <v>4.8503243098093183</v>
      </c>
      <c r="G34" s="16"/>
      <c r="H34" s="16"/>
      <c r="I34" s="16"/>
      <c r="J34" s="61"/>
      <c r="M34" s="82">
        <f t="shared" si="7"/>
        <v>-7.9999999999999974E-2</v>
      </c>
      <c r="N34" s="83">
        <f t="shared" si="3"/>
        <v>-5364.7005813346659</v>
      </c>
      <c r="O34" s="83">
        <f t="shared" si="4"/>
        <v>-6095.8737551045779</v>
      </c>
      <c r="P34" s="84">
        <f t="shared" si="5"/>
        <v>8.338710754920486</v>
      </c>
      <c r="Q34" s="16"/>
      <c r="R34" s="16"/>
      <c r="S34" s="16"/>
      <c r="T34" s="16"/>
      <c r="U34" s="61"/>
    </row>
    <row r="35" spans="3:21" x14ac:dyDescent="0.25">
      <c r="C35" s="82">
        <f t="shared" si="6"/>
        <v>-6.9999999999999979E-2</v>
      </c>
      <c r="D35" s="83">
        <f t="shared" si="0"/>
        <v>-5885.1560922187555</v>
      </c>
      <c r="E35" s="83">
        <f t="shared" si="1"/>
        <v>-6432.4171017128565</v>
      </c>
      <c r="F35" s="84">
        <f t="shared" si="2"/>
        <v>6.4073274530902209</v>
      </c>
      <c r="G35" s="16"/>
      <c r="H35" s="16"/>
      <c r="I35" s="16"/>
      <c r="J35" s="61"/>
      <c r="M35" s="82">
        <f t="shared" si="7"/>
        <v>-6.9999999999999979E-2</v>
      </c>
      <c r="N35" s="83">
        <f t="shared" si="3"/>
        <v>-5031.9250134377671</v>
      </c>
      <c r="O35" s="83">
        <f t="shared" si="4"/>
        <v>-5968.493990651953</v>
      </c>
      <c r="P35" s="84">
        <f t="shared" si="5"/>
        <v>10.859210878049591</v>
      </c>
      <c r="Q35" s="16"/>
      <c r="R35" s="16"/>
      <c r="S35" s="16"/>
      <c r="T35" s="16"/>
      <c r="U35" s="61"/>
    </row>
    <row r="36" spans="3:21" x14ac:dyDescent="0.25">
      <c r="C36" s="82">
        <f t="shared" si="6"/>
        <v>-5.9999999999999977E-2</v>
      </c>
      <c r="D36" s="83">
        <f t="shared" si="0"/>
        <v>-5561.1288763242064</v>
      </c>
      <c r="E36" s="83">
        <f t="shared" si="1"/>
        <v>-6295.3333574481494</v>
      </c>
      <c r="F36" s="84">
        <f t="shared" si="2"/>
        <v>8.824662196408573</v>
      </c>
      <c r="G36" s="16"/>
      <c r="H36" s="16"/>
      <c r="I36" s="16"/>
      <c r="J36" s="61"/>
      <c r="M36" s="82">
        <f t="shared" si="7"/>
        <v>-5.9999999999999977E-2</v>
      </c>
      <c r="N36" s="83">
        <f t="shared" si="3"/>
        <v>-4576.9106599513634</v>
      </c>
      <c r="O36" s="83">
        <f t="shared" si="4"/>
        <v>-5812.1838583470953</v>
      </c>
      <c r="P36" s="84">
        <f t="shared" si="5"/>
        <v>14.592762596471882</v>
      </c>
      <c r="Q36" s="16"/>
      <c r="R36" s="16"/>
      <c r="S36" s="16"/>
      <c r="T36" s="16"/>
      <c r="U36" s="61"/>
    </row>
    <row r="37" spans="3:21" x14ac:dyDescent="0.25">
      <c r="C37" s="82">
        <f t="shared" si="6"/>
        <v>-4.9999999999999975E-2</v>
      </c>
      <c r="D37" s="83">
        <f t="shared" si="0"/>
        <v>-5088.4373339091208</v>
      </c>
      <c r="E37" s="83">
        <f t="shared" si="1"/>
        <v>-6119.1652920668921</v>
      </c>
      <c r="F37" s="84">
        <f t="shared" si="2"/>
        <v>12.806910635469793</v>
      </c>
      <c r="G37" s="16"/>
      <c r="H37" s="16"/>
      <c r="I37" s="16"/>
      <c r="J37" s="61"/>
      <c r="M37" s="82">
        <f t="shared" si="7"/>
        <v>-4.9999999999999975E-2</v>
      </c>
      <c r="N37" s="83">
        <f t="shared" si="3"/>
        <v>-3933.0320494568014</v>
      </c>
      <c r="O37" s="83">
        <f t="shared" si="4"/>
        <v>-5616.3113703554454</v>
      </c>
      <c r="P37" s="84">
        <f t="shared" si="5"/>
        <v>20.239911087982144</v>
      </c>
      <c r="Q37" s="16"/>
      <c r="R37" s="16"/>
      <c r="S37" s="16"/>
      <c r="T37" s="16"/>
      <c r="U37" s="61"/>
    </row>
    <row r="38" spans="3:21" x14ac:dyDescent="0.25">
      <c r="C38" s="82">
        <f t="shared" si="6"/>
        <v>-3.9999999999999973E-2</v>
      </c>
      <c r="D38" s="83">
        <f t="shared" si="0"/>
        <v>-4354.5019232825689</v>
      </c>
      <c r="E38" s="83">
        <f t="shared" si="1"/>
        <v>-5885.1560922187555</v>
      </c>
      <c r="F38" s="84">
        <f t="shared" si="2"/>
        <v>19.719627100322622</v>
      </c>
      <c r="G38" s="16"/>
      <c r="H38" s="16"/>
      <c r="I38" s="16"/>
      <c r="J38" s="61"/>
      <c r="M38" s="82">
        <f t="shared" si="7"/>
        <v>-3.9999999999999973E-2</v>
      </c>
      <c r="N38" s="83">
        <f t="shared" si="3"/>
        <v>-2999.9976846368818</v>
      </c>
      <c r="O38" s="83">
        <f t="shared" si="4"/>
        <v>-5364.7005813346659</v>
      </c>
      <c r="P38" s="84">
        <f t="shared" si="5"/>
        <v>28.614597040622115</v>
      </c>
      <c r="Q38" s="16"/>
      <c r="R38" s="16"/>
      <c r="S38" s="16"/>
      <c r="T38" s="16"/>
      <c r="U38" s="61"/>
    </row>
    <row r="39" spans="3:21" x14ac:dyDescent="0.25">
      <c r="C39" s="82">
        <f t="shared" si="6"/>
        <v>-2.9999999999999971E-2</v>
      </c>
      <c r="D39" s="83">
        <f t="shared" si="0"/>
        <v>-3147.8576251958693</v>
      </c>
      <c r="E39" s="83">
        <f t="shared" si="1"/>
        <v>-5561.1288763242064</v>
      </c>
      <c r="F39" s="84">
        <f t="shared" si="2"/>
        <v>31.473758980020371</v>
      </c>
      <c r="G39" s="16"/>
      <c r="H39" s="16"/>
      <c r="I39" s="16"/>
      <c r="J39" s="61"/>
      <c r="M39" s="82">
        <f t="shared" si="7"/>
        <v>-2.9999999999999971E-2</v>
      </c>
      <c r="N39" s="83">
        <f t="shared" si="3"/>
        <v>-1673.708502011129</v>
      </c>
      <c r="O39" s="83">
        <f t="shared" si="4"/>
        <v>-5031.9250134377671</v>
      </c>
      <c r="P39" s="84">
        <f t="shared" si="5"/>
        <v>39.67563585689004</v>
      </c>
      <c r="Q39" s="16"/>
      <c r="R39" s="16"/>
      <c r="S39" s="16"/>
      <c r="T39" s="16"/>
      <c r="U39" s="61"/>
    </row>
    <row r="40" spans="3:21" x14ac:dyDescent="0.25">
      <c r="C40" s="82">
        <f t="shared" si="6"/>
        <v>-1.9999999999999969E-2</v>
      </c>
      <c r="D40" s="83">
        <f t="shared" si="0"/>
        <v>-1206.9567890333826</v>
      </c>
      <c r="E40" s="83">
        <f t="shared" si="1"/>
        <v>-5088.4373339091189</v>
      </c>
      <c r="F40" s="84">
        <f t="shared" si="2"/>
        <v>47.21469628595851</v>
      </c>
      <c r="G40" s="16"/>
      <c r="H40" s="16"/>
      <c r="I40" s="16"/>
      <c r="J40" s="61"/>
      <c r="M40" s="82">
        <f t="shared" si="7"/>
        <v>-1.9999999999999969E-2</v>
      </c>
      <c r="N40" s="83">
        <f t="shared" si="3"/>
        <v>5.4643789493269423E-12</v>
      </c>
      <c r="O40" s="83">
        <f t="shared" si="4"/>
        <v>-4576.9106599513634</v>
      </c>
      <c r="P40" s="84">
        <f t="shared" si="5"/>
        <v>50.918256057096542</v>
      </c>
      <c r="Q40" s="16"/>
      <c r="R40" s="16"/>
      <c r="S40" s="16"/>
      <c r="T40" s="16"/>
      <c r="U40" s="61"/>
    </row>
    <row r="41" spans="3:21" x14ac:dyDescent="0.25">
      <c r="C41" s="82">
        <f>C40+0.01</f>
        <v>-9.999999999999969E-3</v>
      </c>
      <c r="D41" s="83">
        <f t="shared" si="0"/>
        <v>1206.9567890333969</v>
      </c>
      <c r="E41" s="83">
        <f t="shared" si="1"/>
        <v>-4354.5019232825689</v>
      </c>
      <c r="F41" s="84">
        <f t="shared" si="2"/>
        <v>59.285869813538561</v>
      </c>
      <c r="G41" s="16"/>
      <c r="H41" s="16"/>
      <c r="I41" s="16"/>
      <c r="J41" s="61"/>
      <c r="M41" s="82">
        <f>M40+0.01</f>
        <v>-9.999999999999969E-3</v>
      </c>
      <c r="N41" s="83">
        <f t="shared" si="3"/>
        <v>1673.7085020111383</v>
      </c>
      <c r="O41" s="83">
        <f t="shared" si="4"/>
        <v>-3933.0320494568009</v>
      </c>
      <c r="P41" s="84">
        <f t="shared" si="5"/>
        <v>58.033679603708549</v>
      </c>
      <c r="Q41" s="16"/>
      <c r="R41" s="16"/>
      <c r="S41" s="16"/>
      <c r="T41" s="16"/>
      <c r="U41" s="61"/>
    </row>
    <row r="42" spans="3:21" x14ac:dyDescent="0.25">
      <c r="C42" s="82">
        <f t="shared" si="6"/>
        <v>3.1225022567582528E-17</v>
      </c>
      <c r="D42" s="83">
        <f t="shared" si="0"/>
        <v>3147.8576251958784</v>
      </c>
      <c r="E42" s="83">
        <f t="shared" si="1"/>
        <v>-3147.8576251958684</v>
      </c>
      <c r="F42" s="84">
        <f t="shared" si="2"/>
        <v>59.285869813538518</v>
      </c>
      <c r="G42" s="16"/>
      <c r="H42" s="16"/>
      <c r="I42" s="16"/>
      <c r="J42" s="61"/>
      <c r="M42" s="82">
        <f t="shared" si="7"/>
        <v>3.1225022567582528E-17</v>
      </c>
      <c r="N42" s="83">
        <f t="shared" si="3"/>
        <v>2999.9976846368882</v>
      </c>
      <c r="O42" s="83">
        <f t="shared" si="4"/>
        <v>-2999.9976846368818</v>
      </c>
      <c r="P42" s="84">
        <f t="shared" si="5"/>
        <v>58.033679603708528</v>
      </c>
      <c r="Q42" s="16"/>
      <c r="R42" s="16"/>
      <c r="S42" s="16"/>
      <c r="T42" s="16"/>
      <c r="U42" s="61"/>
    </row>
    <row r="43" spans="3:21" x14ac:dyDescent="0.25">
      <c r="C43" s="82">
        <f t="shared" si="6"/>
        <v>1.0000000000000031E-2</v>
      </c>
      <c r="D43" s="83">
        <f t="shared" si="0"/>
        <v>4354.5019232825744</v>
      </c>
      <c r="E43" s="83">
        <f t="shared" si="1"/>
        <v>-1206.9567890333822</v>
      </c>
      <c r="F43" s="84">
        <f t="shared" si="2"/>
        <v>47.214696285958418</v>
      </c>
      <c r="G43" s="16"/>
      <c r="H43" s="16"/>
      <c r="I43" s="16"/>
      <c r="J43" s="61"/>
      <c r="M43" s="82">
        <f t="shared" si="7"/>
        <v>1.0000000000000031E-2</v>
      </c>
      <c r="N43" s="83">
        <f t="shared" si="3"/>
        <v>3933.0320494568064</v>
      </c>
      <c r="O43" s="83">
        <f t="shared" si="4"/>
        <v>-1673.7085020111285</v>
      </c>
      <c r="P43" s="84">
        <f t="shared" si="5"/>
        <v>50.918256057096478</v>
      </c>
      <c r="Q43" s="16"/>
      <c r="R43" s="16"/>
      <c r="S43" s="16"/>
      <c r="T43" s="16"/>
      <c r="U43" s="61"/>
    </row>
    <row r="44" spans="3:21" x14ac:dyDescent="0.25">
      <c r="C44" s="82">
        <f t="shared" si="6"/>
        <v>2.0000000000000032E-2</v>
      </c>
      <c r="D44" s="83">
        <f t="shared" si="0"/>
        <v>5088.4373339091235</v>
      </c>
      <c r="E44" s="83">
        <f t="shared" si="1"/>
        <v>1206.9567890333972</v>
      </c>
      <c r="F44" s="84">
        <f t="shared" si="2"/>
        <v>31.473758980020285</v>
      </c>
      <c r="G44" s="16"/>
      <c r="H44" s="16"/>
      <c r="I44" s="16"/>
      <c r="J44" s="61"/>
      <c r="M44" s="82">
        <f t="shared" si="7"/>
        <v>2.0000000000000032E-2</v>
      </c>
      <c r="N44" s="83">
        <f t="shared" si="3"/>
        <v>4576.9106599513671</v>
      </c>
      <c r="O44" s="83">
        <f t="shared" si="4"/>
        <v>5.4643789493269423E-12</v>
      </c>
      <c r="P44" s="84">
        <f t="shared" si="5"/>
        <v>39.675635856889976</v>
      </c>
      <c r="Q44" s="16"/>
      <c r="R44" s="16"/>
      <c r="S44" s="16"/>
      <c r="T44" s="16"/>
      <c r="U44" s="61"/>
    </row>
    <row r="45" spans="3:21" x14ac:dyDescent="0.25">
      <c r="C45" s="82">
        <f t="shared" si="6"/>
        <v>3.0000000000000034E-2</v>
      </c>
      <c r="D45" s="83">
        <f t="shared" si="0"/>
        <v>5561.1288763242082</v>
      </c>
      <c r="E45" s="83">
        <f t="shared" si="1"/>
        <v>3147.8576251958784</v>
      </c>
      <c r="F45" s="84">
        <f t="shared" si="2"/>
        <v>19.719627100322569</v>
      </c>
      <c r="G45" s="16"/>
      <c r="H45" s="16"/>
      <c r="I45" s="16"/>
      <c r="J45" s="61"/>
      <c r="M45" s="82">
        <f t="shared" si="7"/>
        <v>3.0000000000000034E-2</v>
      </c>
      <c r="N45" s="83">
        <f t="shared" si="3"/>
        <v>5031.9250134377698</v>
      </c>
      <c r="O45" s="83">
        <f t="shared" si="4"/>
        <v>1673.7085020111385</v>
      </c>
      <c r="P45" s="84">
        <f t="shared" si="5"/>
        <v>28.614597040622058</v>
      </c>
      <c r="Q45" s="16"/>
      <c r="R45" s="16"/>
      <c r="S45" s="16"/>
      <c r="T45" s="16"/>
      <c r="U45" s="61"/>
    </row>
    <row r="46" spans="3:21" x14ac:dyDescent="0.25">
      <c r="C46" s="82">
        <f t="shared" si="6"/>
        <v>4.0000000000000036E-2</v>
      </c>
      <c r="D46" s="83">
        <f t="shared" si="0"/>
        <v>5885.1560922187582</v>
      </c>
      <c r="E46" s="83">
        <f t="shared" si="1"/>
        <v>4354.5019232825753</v>
      </c>
      <c r="F46" s="84">
        <f t="shared" si="2"/>
        <v>12.806910635469764</v>
      </c>
      <c r="G46" s="16"/>
      <c r="H46" s="16"/>
      <c r="I46" s="16"/>
      <c r="J46" s="61"/>
      <c r="M46" s="82">
        <f t="shared" si="7"/>
        <v>4.0000000000000036E-2</v>
      </c>
      <c r="N46" s="83">
        <f t="shared" si="3"/>
        <v>5364.7005813346677</v>
      </c>
      <c r="O46" s="83">
        <f t="shared" si="4"/>
        <v>2999.9976846368886</v>
      </c>
      <c r="P46" s="84">
        <f t="shared" si="5"/>
        <v>20.239911087982097</v>
      </c>
      <c r="Q46" s="16"/>
      <c r="R46" s="16"/>
      <c r="S46" s="16"/>
      <c r="T46" s="16"/>
      <c r="U46" s="61"/>
    </row>
    <row r="47" spans="3:21" x14ac:dyDescent="0.25">
      <c r="C47" s="82">
        <f t="shared" si="6"/>
        <v>5.0000000000000037E-2</v>
      </c>
      <c r="D47" s="83">
        <f t="shared" si="0"/>
        <v>6119.165292066893</v>
      </c>
      <c r="E47" s="83">
        <f t="shared" si="1"/>
        <v>5088.4373339091235</v>
      </c>
      <c r="F47" s="84">
        <f t="shared" si="2"/>
        <v>8.8246621964085552</v>
      </c>
      <c r="G47" s="16"/>
      <c r="H47" s="16"/>
      <c r="I47" s="16"/>
      <c r="J47" s="61"/>
      <c r="M47" s="82">
        <f t="shared" si="7"/>
        <v>5.0000000000000037E-2</v>
      </c>
      <c r="N47" s="83">
        <f t="shared" si="3"/>
        <v>5616.3113703554463</v>
      </c>
      <c r="O47" s="83">
        <f t="shared" si="4"/>
        <v>3933.0320494568068</v>
      </c>
      <c r="P47" s="84">
        <f t="shared" si="5"/>
        <v>14.592762596471847</v>
      </c>
      <c r="Q47" s="16"/>
      <c r="R47" s="16"/>
      <c r="S47" s="16"/>
      <c r="T47" s="16"/>
      <c r="U47" s="61"/>
    </row>
    <row r="48" spans="3:21" x14ac:dyDescent="0.25">
      <c r="C48" s="82">
        <f t="shared" si="6"/>
        <v>6.0000000000000039E-2</v>
      </c>
      <c r="D48" s="83">
        <f t="shared" si="0"/>
        <v>6295.3333574481494</v>
      </c>
      <c r="E48" s="83">
        <f t="shared" si="1"/>
        <v>5561.1288763242082</v>
      </c>
      <c r="F48" s="84">
        <f t="shared" si="2"/>
        <v>6.4073274530901987</v>
      </c>
      <c r="G48" s="16"/>
      <c r="H48" s="16"/>
      <c r="I48" s="16"/>
      <c r="J48" s="61"/>
      <c r="M48" s="82">
        <f t="shared" si="7"/>
        <v>6.0000000000000039E-2</v>
      </c>
      <c r="N48" s="83">
        <f t="shared" si="3"/>
        <v>5812.1838583470962</v>
      </c>
      <c r="O48" s="83">
        <f t="shared" si="4"/>
        <v>4576.9106599513671</v>
      </c>
      <c r="P48" s="84">
        <f t="shared" si="5"/>
        <v>10.859210878049561</v>
      </c>
      <c r="Q48" s="16"/>
      <c r="R48" s="16"/>
      <c r="S48" s="16"/>
      <c r="T48" s="16"/>
      <c r="U48" s="61"/>
    </row>
    <row r="49" spans="3:21" x14ac:dyDescent="0.25">
      <c r="C49" s="82">
        <f t="shared" si="6"/>
        <v>7.0000000000000034E-2</v>
      </c>
      <c r="D49" s="83">
        <f t="shared" si="0"/>
        <v>6432.4171017128574</v>
      </c>
      <c r="E49" s="83">
        <f t="shared" si="1"/>
        <v>5885.1560922187582</v>
      </c>
      <c r="F49" s="84">
        <f t="shared" si="2"/>
        <v>4.850324309809305</v>
      </c>
      <c r="G49" s="16"/>
      <c r="H49" s="16"/>
      <c r="I49" s="16"/>
      <c r="J49" s="61"/>
      <c r="M49" s="82">
        <f t="shared" si="7"/>
        <v>7.0000000000000034E-2</v>
      </c>
      <c r="N49" s="83">
        <f t="shared" si="3"/>
        <v>5968.4939906519539</v>
      </c>
      <c r="O49" s="83">
        <f t="shared" si="4"/>
        <v>5031.9250134377698</v>
      </c>
      <c r="P49" s="84">
        <f t="shared" si="5"/>
        <v>8.3387107549204753</v>
      </c>
      <c r="Q49" s="16"/>
      <c r="R49" s="16"/>
      <c r="S49" s="16"/>
      <c r="T49" s="16"/>
      <c r="U49" s="61"/>
    </row>
    <row r="50" spans="3:21" x14ac:dyDescent="0.25">
      <c r="C50" s="82">
        <f t="shared" si="6"/>
        <v>8.0000000000000029E-2</v>
      </c>
      <c r="D50" s="83">
        <f t="shared" si="0"/>
        <v>6541.9691445346552</v>
      </c>
      <c r="E50" s="83">
        <f t="shared" si="1"/>
        <v>6119.165292066893</v>
      </c>
      <c r="F50" s="84">
        <f t="shared" si="2"/>
        <v>3.7945970794067514</v>
      </c>
      <c r="G50" s="16"/>
      <c r="H50" s="16"/>
      <c r="I50" s="16"/>
      <c r="J50" s="61"/>
      <c r="M50" s="82">
        <f t="shared" si="7"/>
        <v>8.0000000000000029E-2</v>
      </c>
      <c r="N50" s="83">
        <f t="shared" si="3"/>
        <v>6095.8737551045788</v>
      </c>
      <c r="O50" s="83">
        <f t="shared" si="4"/>
        <v>5364.7005813346668</v>
      </c>
      <c r="P50" s="84">
        <f t="shared" si="5"/>
        <v>6.581996332306459</v>
      </c>
      <c r="Q50" s="16"/>
      <c r="R50" s="16"/>
      <c r="S50" s="16"/>
      <c r="T50" s="16"/>
      <c r="U50" s="61"/>
    </row>
    <row r="51" spans="3:21" x14ac:dyDescent="0.25">
      <c r="C51" s="82">
        <f>C50+0.01</f>
        <v>9.0000000000000024E-2</v>
      </c>
      <c r="D51" s="83">
        <f t="shared" si="0"/>
        <v>6631.4489208617379</v>
      </c>
      <c r="E51" s="83">
        <f t="shared" si="1"/>
        <v>6295.3333574481494</v>
      </c>
      <c r="F51" s="84">
        <f t="shared" si="2"/>
        <v>3.0478391560325537</v>
      </c>
      <c r="G51" s="16"/>
      <c r="H51" s="16"/>
      <c r="I51" s="16"/>
      <c r="J51" s="61"/>
      <c r="M51" s="82">
        <f>M50+0.01</f>
        <v>9.0000000000000024E-2</v>
      </c>
      <c r="N51" s="83">
        <f t="shared" si="3"/>
        <v>6201.5374630468268</v>
      </c>
      <c r="O51" s="83">
        <f t="shared" si="4"/>
        <v>5616.3113703554463</v>
      </c>
      <c r="P51" s="84">
        <f t="shared" si="5"/>
        <v>5.3178381430461945</v>
      </c>
      <c r="Q51" s="16"/>
      <c r="R51" s="16"/>
      <c r="S51" s="16"/>
      <c r="T51" s="16"/>
      <c r="U51" s="61"/>
    </row>
    <row r="52" spans="3:21" x14ac:dyDescent="0.25">
      <c r="C52" s="82">
        <f t="shared" si="6"/>
        <v>0.10000000000000002</v>
      </c>
      <c r="D52" s="83">
        <f t="shared" si="0"/>
        <v>6705.86936950578</v>
      </c>
      <c r="E52" s="83">
        <f t="shared" si="1"/>
        <v>6432.4171017128574</v>
      </c>
      <c r="F52" s="84">
        <f t="shared" si="2"/>
        <v>2.5009929250584024</v>
      </c>
      <c r="G52" s="16"/>
      <c r="H52" s="16"/>
      <c r="I52" s="16"/>
      <c r="J52" s="61"/>
      <c r="M52" s="82">
        <f t="shared" si="7"/>
        <v>0.10000000000000002</v>
      </c>
      <c r="N52" s="83">
        <f t="shared" si="3"/>
        <v>6290.5253942649551</v>
      </c>
      <c r="O52" s="83">
        <f t="shared" si="4"/>
        <v>5812.1838583470962</v>
      </c>
      <c r="P52" s="84">
        <f t="shared" si="5"/>
        <v>4.3814983942655568</v>
      </c>
      <c r="Q52" s="16"/>
      <c r="R52" s="16"/>
      <c r="S52" s="16"/>
      <c r="T52" s="16"/>
      <c r="U52" s="61"/>
    </row>
    <row r="53" spans="3:21" x14ac:dyDescent="0.25">
      <c r="C53" s="82">
        <f t="shared" si="6"/>
        <v>0.11000000000000001</v>
      </c>
      <c r="D53" s="83">
        <f t="shared" si="0"/>
        <v>6768.7154617534134</v>
      </c>
      <c r="E53" s="83">
        <f t="shared" si="1"/>
        <v>6541.9691445346552</v>
      </c>
      <c r="F53" s="84">
        <f t="shared" si="2"/>
        <v>2.0888921257229085</v>
      </c>
      <c r="G53" s="16"/>
      <c r="H53" s="16"/>
      <c r="I53" s="16"/>
      <c r="J53" s="61"/>
      <c r="M53" s="82">
        <f t="shared" si="7"/>
        <v>0.11000000000000001</v>
      </c>
      <c r="N53" s="83">
        <f t="shared" si="3"/>
        <v>6366.4521335872068</v>
      </c>
      <c r="O53" s="83">
        <f t="shared" si="4"/>
        <v>5968.4939906519539</v>
      </c>
      <c r="P53" s="84">
        <f t="shared" si="5"/>
        <v>3.6702750135792601</v>
      </c>
      <c r="Q53" s="16"/>
      <c r="R53" s="16"/>
      <c r="S53" s="16"/>
      <c r="T53" s="16"/>
      <c r="U53" s="61"/>
    </row>
    <row r="54" spans="3:21" x14ac:dyDescent="0.25">
      <c r="C54" s="82">
        <f t="shared" si="6"/>
        <v>0.12000000000000001</v>
      </c>
      <c r="D54" s="83">
        <f t="shared" si="0"/>
        <v>6822.4810287875616</v>
      </c>
      <c r="E54" s="83">
        <f t="shared" si="1"/>
        <v>6631.4489208617379</v>
      </c>
      <c r="F54" s="84">
        <f t="shared" si="2"/>
        <v>1.7707916843111515</v>
      </c>
      <c r="G54" s="16"/>
      <c r="H54" s="16"/>
      <c r="I54" s="16"/>
      <c r="J54" s="61"/>
      <c r="M54" s="82">
        <f t="shared" si="7"/>
        <v>0.12000000000000001</v>
      </c>
      <c r="N54" s="83">
        <f t="shared" si="3"/>
        <v>6431.9706148851783</v>
      </c>
      <c r="O54" s="83">
        <f t="shared" si="4"/>
        <v>6095.8737551045788</v>
      </c>
      <c r="P54" s="84">
        <f t="shared" si="5"/>
        <v>3.1181387389509094</v>
      </c>
      <c r="Q54" s="16"/>
      <c r="R54" s="16"/>
      <c r="S54" s="16"/>
      <c r="T54" s="16"/>
      <c r="U54" s="61"/>
    </row>
    <row r="55" spans="3:21" x14ac:dyDescent="0.25">
      <c r="C55" s="82">
        <f t="shared" si="6"/>
        <v>0.13</v>
      </c>
      <c r="D55" s="83">
        <f t="shared" si="0"/>
        <v>6868.9955984421867</v>
      </c>
      <c r="E55" s="83">
        <f t="shared" si="1"/>
        <v>6705.86936950578</v>
      </c>
      <c r="F55" s="84">
        <f t="shared" si="2"/>
        <v>1.520206946770942</v>
      </c>
      <c r="G55" s="16"/>
      <c r="H55" s="16"/>
      <c r="I55" s="16"/>
      <c r="J55" s="61"/>
      <c r="M55" s="82">
        <f t="shared" si="7"/>
        <v>0.13</v>
      </c>
      <c r="N55" s="83">
        <f t="shared" si="3"/>
        <v>6489.0683510564095</v>
      </c>
      <c r="O55" s="83">
        <f t="shared" si="4"/>
        <v>6201.5374630468268</v>
      </c>
      <c r="P55" s="84">
        <f t="shared" si="5"/>
        <v>2.6813360341412888</v>
      </c>
      <c r="Q55" s="16"/>
      <c r="R55" s="16"/>
      <c r="S55" s="16"/>
      <c r="T55" s="16"/>
      <c r="U55" s="61"/>
    </row>
    <row r="56" spans="3:21" x14ac:dyDescent="0.25">
      <c r="C56" s="82">
        <f t="shared" si="6"/>
        <v>0.14000000000000001</v>
      </c>
      <c r="D56" s="83">
        <f t="shared" si="0"/>
        <v>6909.6306221711948</v>
      </c>
      <c r="E56" s="83">
        <f t="shared" si="1"/>
        <v>6768.7154617534134</v>
      </c>
      <c r="F56" s="84">
        <f t="shared" si="2"/>
        <v>1.3193393517110201</v>
      </c>
      <c r="G56" s="16"/>
      <c r="H56" s="16"/>
      <c r="I56" s="16"/>
      <c r="J56" s="61"/>
      <c r="M56" s="82">
        <f t="shared" si="7"/>
        <v>0.14000000000000001</v>
      </c>
      <c r="N56" s="83">
        <f t="shared" si="3"/>
        <v>6539.2617130836297</v>
      </c>
      <c r="O56" s="83">
        <f t="shared" si="4"/>
        <v>6290.5253942649551</v>
      </c>
      <c r="P56" s="84">
        <f t="shared" si="5"/>
        <v>2.3300535976179138</v>
      </c>
      <c r="Q56" s="16"/>
      <c r="R56" s="16"/>
      <c r="S56" s="16"/>
      <c r="T56" s="16"/>
      <c r="U56" s="61"/>
    </row>
    <row r="57" spans="3:21" x14ac:dyDescent="0.25">
      <c r="C57" s="82">
        <f t="shared" si="6"/>
        <v>0.15000000000000002</v>
      </c>
      <c r="D57" s="83">
        <f t="shared" si="0"/>
        <v>6945.433738711984</v>
      </c>
      <c r="E57" s="83">
        <f t="shared" si="1"/>
        <v>6822.4810287875616</v>
      </c>
      <c r="F57" s="84">
        <f t="shared" si="2"/>
        <v>1.1558787029208417</v>
      </c>
      <c r="G57" s="16"/>
      <c r="H57" s="16"/>
      <c r="I57" s="16"/>
      <c r="J57" s="61"/>
      <c r="M57" s="82">
        <f t="shared" si="7"/>
        <v>0.15000000000000002</v>
      </c>
      <c r="N57" s="83">
        <f t="shared" si="3"/>
        <v>6583.7265342921146</v>
      </c>
      <c r="O57" s="83">
        <f t="shared" si="4"/>
        <v>6366.4521335872068</v>
      </c>
      <c r="P57" s="84">
        <f t="shared" si="5"/>
        <v>2.0434584524271369</v>
      </c>
      <c r="Q57" s="16"/>
      <c r="R57" s="16"/>
      <c r="S57" s="16"/>
      <c r="T57" s="16"/>
      <c r="U57" s="61"/>
    </row>
    <row r="58" spans="3:21" x14ac:dyDescent="0.25">
      <c r="C58" s="82">
        <f>C57+0.01</f>
        <v>0.16000000000000003</v>
      </c>
      <c r="D58" s="83">
        <f t="shared" si="0"/>
        <v>6977.2186291019325</v>
      </c>
      <c r="E58" s="83">
        <f t="shared" si="1"/>
        <v>6868.9955984421867</v>
      </c>
      <c r="F58" s="84">
        <f t="shared" si="2"/>
        <v>1.0210952249142573</v>
      </c>
      <c r="G58" s="16"/>
      <c r="H58" s="16"/>
      <c r="I58" s="16"/>
      <c r="J58" s="61"/>
      <c r="M58" s="82">
        <f>M57+0.01</f>
        <v>0.16000000000000003</v>
      </c>
      <c r="N58" s="83">
        <f t="shared" si="3"/>
        <v>6623.3879046656975</v>
      </c>
      <c r="O58" s="83">
        <f t="shared" si="4"/>
        <v>6431.9706148851783</v>
      </c>
      <c r="P58" s="84">
        <f t="shared" si="5"/>
        <v>1.8066605884186508</v>
      </c>
      <c r="Q58" s="16"/>
      <c r="R58" s="16"/>
      <c r="S58" s="16"/>
      <c r="T58" s="16"/>
      <c r="U58" s="61"/>
    </row>
    <row r="59" spans="3:21" x14ac:dyDescent="0.25">
      <c r="C59" s="82">
        <f t="shared" si="6"/>
        <v>0.17000000000000004</v>
      </c>
      <c r="D59" s="83">
        <f t="shared" si="0"/>
        <v>7005.6266364943003</v>
      </c>
      <c r="E59" s="83">
        <f t="shared" si="1"/>
        <v>6909.6306221711948</v>
      </c>
      <c r="F59" s="84">
        <f t="shared" si="2"/>
        <v>0.90866113034331275</v>
      </c>
      <c r="G59" s="16"/>
      <c r="H59" s="16"/>
      <c r="I59" s="16"/>
      <c r="J59" s="61"/>
      <c r="M59" s="82">
        <f t="shared" si="7"/>
        <v>0.17000000000000004</v>
      </c>
      <c r="N59" s="83">
        <f t="shared" si="3"/>
        <v>6658.9831789596201</v>
      </c>
      <c r="O59" s="83">
        <f t="shared" si="4"/>
        <v>6489.0683510564095</v>
      </c>
      <c r="P59" s="84">
        <f t="shared" si="5"/>
        <v>1.6088006494725247</v>
      </c>
      <c r="Q59" s="16"/>
      <c r="R59" s="16"/>
      <c r="S59" s="16"/>
      <c r="T59" s="16"/>
      <c r="U59" s="61"/>
    </row>
    <row r="60" spans="3:21" x14ac:dyDescent="0.25">
      <c r="C60" s="82">
        <f t="shared" si="6"/>
        <v>0.18000000000000005</v>
      </c>
      <c r="D60" s="83">
        <f t="shared" si="0"/>
        <v>7031.1699504575408</v>
      </c>
      <c r="E60" s="83">
        <f t="shared" si="1"/>
        <v>6945.433738711984</v>
      </c>
      <c r="F60" s="84">
        <f t="shared" si="2"/>
        <v>0.81390023724344773</v>
      </c>
      <c r="G60" s="16"/>
      <c r="H60" s="16"/>
      <c r="I60" s="16"/>
      <c r="J60" s="61"/>
      <c r="M60" s="82">
        <f t="shared" si="7"/>
        <v>0.18000000000000005</v>
      </c>
      <c r="N60" s="83">
        <f t="shared" si="3"/>
        <v>6691.1070150749238</v>
      </c>
      <c r="O60" s="83">
        <f t="shared" si="4"/>
        <v>6539.2617130836297</v>
      </c>
      <c r="P60" s="84">
        <f t="shared" si="5"/>
        <v>1.4418144083286883</v>
      </c>
      <c r="Q60" s="16"/>
      <c r="R60" s="16"/>
      <c r="S60" s="16"/>
      <c r="T60" s="16"/>
      <c r="U60" s="61"/>
    </row>
    <row r="61" spans="3:21" x14ac:dyDescent="0.25">
      <c r="C61" s="82">
        <f>C60+0.01</f>
        <v>0.19000000000000006</v>
      </c>
      <c r="D61" s="83">
        <f t="shared" si="0"/>
        <v>7054.2624648050651</v>
      </c>
      <c r="E61" s="83">
        <f t="shared" si="1"/>
        <v>6977.2186291019325</v>
      </c>
      <c r="F61" s="84">
        <f t="shared" si="2"/>
        <v>0.73329707517930343</v>
      </c>
      <c r="G61" s="16"/>
      <c r="H61" s="16"/>
      <c r="I61" s="16"/>
      <c r="J61" s="61"/>
      <c r="M61" s="82">
        <f>M60+0.01</f>
        <v>0.19000000000000006</v>
      </c>
      <c r="N61" s="83">
        <f t="shared" si="3"/>
        <v>6720.244113966558</v>
      </c>
      <c r="O61" s="83">
        <f t="shared" si="4"/>
        <v>6583.7265342921146</v>
      </c>
      <c r="P61" s="84">
        <f t="shared" si="5"/>
        <v>1.2996153109302544</v>
      </c>
      <c r="Q61" s="16"/>
      <c r="R61" s="16"/>
      <c r="S61" s="16"/>
      <c r="T61" s="16"/>
      <c r="U61" s="61"/>
    </row>
    <row r="62" spans="3:21" x14ac:dyDescent="0.25">
      <c r="C62" s="82">
        <f t="shared" si="6"/>
        <v>0.20000000000000007</v>
      </c>
      <c r="D62" s="83">
        <f t="shared" si="0"/>
        <v>7075.2422158270283</v>
      </c>
      <c r="E62" s="83">
        <f t="shared" si="1"/>
        <v>7005.6266364943003</v>
      </c>
      <c r="F62" s="84">
        <f t="shared" si="2"/>
        <v>6.9615579332727995</v>
      </c>
      <c r="G62" s="16"/>
      <c r="H62" s="16"/>
      <c r="I62" s="16"/>
      <c r="J62" s="61"/>
      <c r="M62" s="82">
        <f t="shared" si="7"/>
        <v>0.20000000000000007</v>
      </c>
      <c r="N62" s="83">
        <f t="shared" si="3"/>
        <v>6746.7933871773048</v>
      </c>
      <c r="O62" s="83">
        <f t="shared" si="4"/>
        <v>6623.3879046656975</v>
      </c>
      <c r="P62" s="84">
        <f t="shared" si="5"/>
        <v>12.34054825116073</v>
      </c>
      <c r="Q62" s="16"/>
      <c r="R62" s="16"/>
      <c r="S62" s="16"/>
      <c r="T62" s="16"/>
      <c r="U62" s="61"/>
    </row>
    <row r="63" spans="3:21" x14ac:dyDescent="0.25">
      <c r="C63" s="31"/>
      <c r="D63" s="16"/>
      <c r="E63" s="16"/>
      <c r="F63" s="16"/>
      <c r="G63" s="16"/>
      <c r="H63" s="16"/>
      <c r="I63" s="16"/>
      <c r="J63" s="61"/>
      <c r="M63" s="31"/>
      <c r="N63" s="16"/>
      <c r="O63" s="16"/>
      <c r="P63" s="16"/>
      <c r="Q63" s="16"/>
      <c r="R63" s="16"/>
      <c r="S63" s="16"/>
      <c r="T63" s="16"/>
      <c r="U63" s="61"/>
    </row>
    <row r="64" spans="3:21" x14ac:dyDescent="0.25">
      <c r="C64" s="186" t="s">
        <v>136</v>
      </c>
      <c r="D64" s="187"/>
      <c r="E64" s="187"/>
      <c r="F64" s="30">
        <f>SUM(F22:F62)</f>
        <v>429.47889476173822</v>
      </c>
      <c r="G64" s="16"/>
      <c r="H64" s="16"/>
      <c r="I64" s="16"/>
      <c r="J64" s="61"/>
      <c r="M64" s="186" t="s">
        <v>136</v>
      </c>
      <c r="N64" s="187"/>
      <c r="O64" s="187"/>
      <c r="P64" s="30">
        <f>SUM(P22:P62)</f>
        <v>547.44904732961277</v>
      </c>
      <c r="Q64" s="16"/>
      <c r="R64" s="16"/>
      <c r="S64" s="16"/>
      <c r="T64" s="16"/>
      <c r="U64" s="61"/>
    </row>
    <row r="65" spans="3:21" x14ac:dyDescent="0.25">
      <c r="C65" s="186" t="s">
        <v>132</v>
      </c>
      <c r="D65" s="187"/>
      <c r="E65" s="187"/>
      <c r="F65" s="16">
        <f>361</f>
        <v>361</v>
      </c>
      <c r="G65" s="16"/>
      <c r="H65" s="16"/>
      <c r="I65" s="16"/>
      <c r="J65" s="61"/>
      <c r="M65" s="186" t="s">
        <v>132</v>
      </c>
      <c r="N65" s="187"/>
      <c r="O65" s="187"/>
      <c r="P65" s="16">
        <v>353</v>
      </c>
      <c r="Q65" s="16"/>
      <c r="R65" s="16"/>
      <c r="S65" s="16"/>
      <c r="T65" s="16"/>
      <c r="U65" s="61"/>
    </row>
    <row r="66" spans="3:21" x14ac:dyDescent="0.25">
      <c r="C66" s="31"/>
      <c r="D66" s="16"/>
      <c r="E66" s="16"/>
      <c r="F66" s="16"/>
      <c r="G66" s="16"/>
      <c r="H66" s="16"/>
      <c r="I66" s="16"/>
      <c r="J66" s="61"/>
      <c r="M66" s="31"/>
      <c r="N66" s="16"/>
      <c r="O66" s="16"/>
      <c r="P66" s="16"/>
      <c r="Q66" s="16"/>
      <c r="R66" s="16"/>
      <c r="S66" s="16"/>
      <c r="T66" s="16"/>
      <c r="U66" s="61"/>
    </row>
    <row r="67" spans="3:21" x14ac:dyDescent="0.25">
      <c r="C67" s="31"/>
      <c r="D67" s="16"/>
      <c r="E67" s="16"/>
      <c r="F67" s="16"/>
      <c r="G67" s="16"/>
      <c r="H67" s="16"/>
      <c r="I67" s="16"/>
      <c r="J67" s="61"/>
      <c r="M67" s="31"/>
      <c r="N67" s="16"/>
      <c r="O67" s="16" t="s">
        <v>189</v>
      </c>
      <c r="P67" s="165">
        <f>P64/(4*PI()*10^7)</f>
        <v>4.3564610986728422E-6</v>
      </c>
      <c r="Q67" s="16"/>
      <c r="R67" s="16"/>
      <c r="S67" s="16"/>
      <c r="T67" s="16"/>
      <c r="U67" s="61"/>
    </row>
    <row r="68" spans="3:21" x14ac:dyDescent="0.25">
      <c r="C68" s="31"/>
      <c r="D68" s="16"/>
      <c r="E68" s="16"/>
      <c r="F68" s="16"/>
      <c r="G68" s="16"/>
      <c r="H68" s="16"/>
      <c r="I68" s="16"/>
      <c r="J68" s="61"/>
      <c r="M68" s="31"/>
      <c r="N68" s="16"/>
      <c r="O68" s="16"/>
      <c r="P68" s="16"/>
      <c r="Q68" s="16"/>
      <c r="R68" s="16"/>
      <c r="S68" s="16"/>
      <c r="T68" s="16"/>
      <c r="U68" s="61"/>
    </row>
    <row r="69" spans="3:21" x14ac:dyDescent="0.25">
      <c r="C69" s="31"/>
      <c r="D69" s="16"/>
      <c r="E69" s="16"/>
      <c r="F69" s="16"/>
      <c r="G69" s="16"/>
      <c r="H69" s="16"/>
      <c r="I69" s="16"/>
      <c r="J69" s="61"/>
      <c r="M69" s="31"/>
      <c r="N69" s="16"/>
      <c r="O69" s="16"/>
      <c r="P69" s="16"/>
      <c r="Q69" s="16"/>
      <c r="R69" s="16"/>
      <c r="S69" s="16"/>
      <c r="T69" s="16"/>
      <c r="U69" s="61"/>
    </row>
    <row r="70" spans="3:21" x14ac:dyDescent="0.25">
      <c r="C70" s="31"/>
      <c r="D70" s="16"/>
      <c r="E70" s="16"/>
      <c r="F70" s="16"/>
      <c r="G70" s="16"/>
      <c r="H70" s="16"/>
      <c r="I70" s="16"/>
      <c r="J70" s="61"/>
      <c r="M70" s="31"/>
      <c r="N70" s="16"/>
      <c r="O70" s="16"/>
      <c r="P70" s="16"/>
      <c r="Q70" s="16"/>
      <c r="R70" s="16"/>
      <c r="S70" s="16"/>
      <c r="T70" s="16"/>
      <c r="U70" s="61"/>
    </row>
    <row r="71" spans="3:21" x14ac:dyDescent="0.25">
      <c r="C71" s="73"/>
      <c r="D71" s="74"/>
      <c r="E71" s="74"/>
      <c r="F71" s="74"/>
      <c r="G71" s="74"/>
      <c r="H71" s="74"/>
      <c r="I71" s="74"/>
      <c r="J71" s="75"/>
      <c r="M71" s="73"/>
      <c r="N71" s="74"/>
      <c r="O71" s="74"/>
      <c r="P71" s="74"/>
      <c r="Q71" s="74"/>
      <c r="R71" s="74"/>
      <c r="S71" s="74"/>
      <c r="T71" s="74"/>
      <c r="U71" s="75"/>
    </row>
  </sheetData>
  <mergeCells count="21">
    <mergeCell ref="O4:Q4"/>
    <mergeCell ref="B3:D3"/>
    <mergeCell ref="G4:N4"/>
    <mergeCell ref="B4:D4"/>
    <mergeCell ref="B5:D5"/>
    <mergeCell ref="G5:N5"/>
    <mergeCell ref="O5:Q5"/>
    <mergeCell ref="B6:D6"/>
    <mergeCell ref="B7:D7"/>
    <mergeCell ref="M64:O64"/>
    <mergeCell ref="M65:O65"/>
    <mergeCell ref="M13:U13"/>
    <mergeCell ref="M14:U14"/>
    <mergeCell ref="C13:J13"/>
    <mergeCell ref="C64:E64"/>
    <mergeCell ref="C65:E65"/>
    <mergeCell ref="C14:J14"/>
    <mergeCell ref="G6:N6"/>
    <mergeCell ref="G7:N7"/>
    <mergeCell ref="O6:Q6"/>
    <mergeCell ref="O7:Q7"/>
  </mergeCells>
  <pageMargins left="0.7" right="0.7" top="0.75" bottom="0.75" header="0.3" footer="0.3"/>
  <pageSetup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7"/>
  <sheetViews>
    <sheetView workbookViewId="0">
      <selection activeCell="I8" sqref="I8"/>
    </sheetView>
  </sheetViews>
  <sheetFormatPr defaultRowHeight="15" x14ac:dyDescent="0.25"/>
  <sheetData>
    <row r="2" spans="3:10" x14ac:dyDescent="0.25">
      <c r="E2" s="60" t="s">
        <v>198</v>
      </c>
    </row>
    <row r="4" spans="3:10" ht="17.25" x14ac:dyDescent="0.25">
      <c r="C4" s="67" t="s">
        <v>196</v>
      </c>
      <c r="D4" s="67" t="s">
        <v>197</v>
      </c>
    </row>
    <row r="5" spans="3:10" x14ac:dyDescent="0.25">
      <c r="C5" s="67" t="s">
        <v>190</v>
      </c>
      <c r="D5" s="67">
        <f>0.3*0.3</f>
        <v>0.09</v>
      </c>
    </row>
    <row r="6" spans="3:10" x14ac:dyDescent="0.25">
      <c r="C6" s="67" t="s">
        <v>191</v>
      </c>
      <c r="D6" s="67">
        <f t="shared" ref="D6:D8" si="0">0.3*0.3</f>
        <v>0.09</v>
      </c>
    </row>
    <row r="7" spans="3:10" x14ac:dyDescent="0.25">
      <c r="C7" s="67" t="s">
        <v>192</v>
      </c>
      <c r="D7" s="67">
        <f t="shared" si="0"/>
        <v>0.09</v>
      </c>
    </row>
    <row r="8" spans="3:10" x14ac:dyDescent="0.25">
      <c r="C8" s="67" t="s">
        <v>193</v>
      </c>
      <c r="D8" s="67">
        <f t="shared" si="0"/>
        <v>0.09</v>
      </c>
    </row>
    <row r="9" spans="3:10" x14ac:dyDescent="0.25">
      <c r="C9" s="67" t="s">
        <v>194</v>
      </c>
      <c r="D9" s="167">
        <f>0.1*0.1</f>
        <v>1.0000000000000002E-2</v>
      </c>
    </row>
    <row r="10" spans="3:10" x14ac:dyDescent="0.25">
      <c r="C10" s="67" t="s">
        <v>195</v>
      </c>
      <c r="D10" s="67">
        <f>0.1*0.1</f>
        <v>1.0000000000000002E-2</v>
      </c>
    </row>
    <row r="11" spans="3:10" x14ac:dyDescent="0.25">
      <c r="I11">
        <v>0</v>
      </c>
      <c r="J11">
        <f>(COS(I11*PI()/180)*$D$9*$D$8)*3</f>
        <v>2.7000000000000006E-3</v>
      </c>
    </row>
    <row r="12" spans="3:10" x14ac:dyDescent="0.25">
      <c r="I12">
        <v>15</v>
      </c>
      <c r="J12" s="60">
        <f t="shared" ref="J12:J17" si="1">(COS(I12*PI()/180)*$D$9*$D$8)*3</f>
        <v>2.6079997309804851E-3</v>
      </c>
    </row>
    <row r="13" spans="3:10" x14ac:dyDescent="0.25">
      <c r="I13">
        <v>30</v>
      </c>
      <c r="J13" s="60">
        <f t="shared" si="1"/>
        <v>2.3382685902179848E-3</v>
      </c>
    </row>
    <row r="14" spans="3:10" x14ac:dyDescent="0.25">
      <c r="C14" s="166"/>
      <c r="I14" s="60">
        <v>45</v>
      </c>
      <c r="J14" s="60">
        <f t="shared" si="1"/>
        <v>1.9091883092036788E-3</v>
      </c>
    </row>
    <row r="15" spans="3:10" x14ac:dyDescent="0.25">
      <c r="C15" s="166"/>
      <c r="I15" s="60">
        <v>60</v>
      </c>
      <c r="J15" s="60">
        <f t="shared" si="1"/>
        <v>1.3500000000000005E-3</v>
      </c>
    </row>
    <row r="16" spans="3:10" x14ac:dyDescent="0.25">
      <c r="I16" s="60">
        <v>75</v>
      </c>
      <c r="J16" s="60">
        <f t="shared" si="1"/>
        <v>6.9881142177680611E-4</v>
      </c>
    </row>
    <row r="17" spans="9:10" x14ac:dyDescent="0.25">
      <c r="I17" s="60">
        <v>90</v>
      </c>
      <c r="J17" s="60">
        <f t="shared" si="1"/>
        <v>1.6539504141266371E-19</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J11" sqref="J11"/>
    </sheetView>
  </sheetViews>
  <sheetFormatPr defaultRowHeight="15" x14ac:dyDescent="0.25"/>
  <cols>
    <col min="1" max="1" width="15" bestFit="1" customWidth="1"/>
    <col min="2" max="2" width="11" bestFit="1" customWidth="1"/>
  </cols>
  <sheetData>
    <row r="1" spans="1:4" x14ac:dyDescent="0.25">
      <c r="A1" s="76" t="s">
        <v>200</v>
      </c>
      <c r="B1" s="194" t="s">
        <v>201</v>
      </c>
      <c r="C1" s="194"/>
    </row>
    <row r="2" spans="1:4" x14ac:dyDescent="0.25">
      <c r="A2" s="193" t="s">
        <v>203</v>
      </c>
      <c r="B2" s="200">
        <f>'Environmental Torques'!E22</f>
        <v>5.8801989105447996E-7</v>
      </c>
      <c r="C2" s="195" t="s">
        <v>206</v>
      </c>
    </row>
    <row r="3" spans="1:4" x14ac:dyDescent="0.25">
      <c r="A3" s="193" t="s">
        <v>204</v>
      </c>
      <c r="B3" s="200">
        <f>'Environmental Torques'!I25</f>
        <v>7.2173917751190137E-9</v>
      </c>
      <c r="C3" s="195" t="s">
        <v>206</v>
      </c>
    </row>
    <row r="4" spans="1:4" ht="15.75" thickBot="1" x14ac:dyDescent="0.3">
      <c r="A4" s="196" t="s">
        <v>205</v>
      </c>
      <c r="B4" s="201">
        <f>'Environmental Torques'!M24</f>
        <v>1.0900383098711076E-6</v>
      </c>
      <c r="C4" s="197" t="s">
        <v>206</v>
      </c>
    </row>
    <row r="5" spans="1:4" ht="45.75" thickTop="1" x14ac:dyDescent="0.25">
      <c r="A5" s="199" t="s">
        <v>202</v>
      </c>
      <c r="B5" s="203">
        <f>'Environmental Torques'!Q20</f>
        <v>2.5508448237879273</v>
      </c>
      <c r="C5" s="202" t="s">
        <v>207</v>
      </c>
      <c r="D5" s="31"/>
    </row>
    <row r="6" spans="1:4" x14ac:dyDescent="0.25">
      <c r="A6" s="198"/>
      <c r="B6" s="198"/>
    </row>
    <row r="18" spans="4:4" x14ac:dyDescent="0.25">
      <c r="D18" s="16"/>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Environmental Torques</vt:lpstr>
      <vt:lpstr>Component Sizing</vt:lpstr>
      <vt:lpstr>hysteresis data from vendors</vt:lpstr>
      <vt:lpstr>ram area calculation</vt:lpstr>
      <vt:lpstr>Sheet1</vt:lpstr>
    </vt:vector>
  </TitlesOfParts>
  <Company>Saint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jdreas</dc:creator>
  <cp:lastModifiedBy>MR LEO</cp:lastModifiedBy>
  <cp:lastPrinted>2011-04-14T22:17:49Z</cp:lastPrinted>
  <dcterms:created xsi:type="dcterms:W3CDTF">2011-03-23T17:42:03Z</dcterms:created>
  <dcterms:modified xsi:type="dcterms:W3CDTF">2014-04-29T05:14:34Z</dcterms:modified>
</cp:coreProperties>
</file>