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
    </mc:Choice>
  </mc:AlternateContent>
  <bookViews>
    <workbookView xWindow="0" yWindow="0" windowWidth="23040" windowHeight="9408" firstSheet="1" activeTab="1"/>
  </bookViews>
  <sheets>
    <sheet name="A&amp;F" sheetId="1" r:id="rId1"/>
    <sheet name="s&amp;e&amp;p&amp;w" sheetId="2" r:id="rId2"/>
    <sheet name="Product" sheetId="3" r:id="rId3"/>
    <sheet name="CONSOLIDATE" sheetId="4" r:id="rId4"/>
    <sheet name="Chart1" sheetId="5" r:id="rId5"/>
    <sheet name="pivot" sheetId="6" r:id="rId6"/>
    <sheet name="Chart2" sheetId="7" r:id="rId7"/>
    <sheet name="EMP" sheetId="8" r:id="rId8"/>
    <sheet name="E.Details" sheetId="9" r:id="rId9"/>
    <sheet name="Marks" sheetId="10" r:id="rId10"/>
    <sheet name="Scenario Summary" sheetId="11" r:id="rId11"/>
    <sheet name="Student" sheetId="12" r:id="rId12"/>
  </sheets>
  <definedNames>
    <definedName name="_xlnm._FilterDatabase" localSheetId="11" hidden="1">Student!$A$2:$J$12</definedName>
    <definedName name="_xlnm.Criteria" localSheetId="11">Student!$L$19:$L$20</definedName>
    <definedName name="_xlnm.Extract" localSheetId="11">Student!$A$20:$J$26</definedName>
    <definedName name="Slicer_E_Name">#N/A</definedName>
    <definedName name="Z_159720CD_1700_4E26_B733_9FDE983FE022_.wvu.FilterData" localSheetId="11" hidden="1">Student!$A$2:$J$12</definedName>
    <definedName name="Z_159720CD_1700_4E26_B733_9FDE983FE022_.wvu.Rows" localSheetId="10" hidden="1">'Scenario Summary'!$4:$4</definedName>
  </definedNames>
  <calcPr calcId="152511"/>
  <customWorkbookViews>
    <customWorkbookView name="Keonics - Personal View" guid="{159720CD-1700-4E26-B733-9FDE983FE022}" mergeInterval="0" personalView="1" maximized="1" xWindow="-9" yWindow="-9" windowWidth="1938" windowHeight="1050" activeSheetId="8"/>
  </customWorkbookViews>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8" l="1"/>
  <c r="D12" i="8" l="1"/>
  <c r="L20" i="12"/>
  <c r="L14" i="12"/>
  <c r="E3" i="8" l="1"/>
  <c r="F3" i="8"/>
  <c r="H3" i="8"/>
  <c r="I3" i="8"/>
  <c r="J3" i="8"/>
  <c r="G3" i="8" l="1"/>
  <c r="K3" i="8"/>
  <c r="K19" i="3"/>
  <c r="K18" i="3"/>
  <c r="K17" i="3"/>
  <c r="F21" i="3"/>
  <c r="H20" i="3"/>
  <c r="G20" i="3"/>
  <c r="F20" i="3"/>
  <c r="F22" i="3" s="1"/>
  <c r="E20" i="3"/>
  <c r="E21" i="3" s="1"/>
  <c r="E22" i="3" s="1"/>
  <c r="D20" i="3"/>
  <c r="N4" i="3"/>
  <c r="L3" i="8" l="1"/>
  <c r="F24" i="3"/>
  <c r="F23" i="3"/>
  <c r="F25" i="3"/>
  <c r="F26" i="3"/>
  <c r="E25" i="3"/>
  <c r="E26" i="3" s="1"/>
  <c r="E24" i="3"/>
  <c r="E23" i="3"/>
  <c r="G21" i="3"/>
  <c r="G22" i="3" s="1"/>
  <c r="D21" i="3"/>
  <c r="D22" i="3" s="1"/>
  <c r="H21" i="3"/>
  <c r="H22" i="3" s="1"/>
  <c r="J3" i="12"/>
  <c r="I3" i="12"/>
  <c r="F4" i="12"/>
  <c r="G4" i="12" s="1"/>
  <c r="H4" i="12"/>
  <c r="I4" i="12"/>
  <c r="J4" i="12"/>
  <c r="F5" i="12"/>
  <c r="G5" i="12"/>
  <c r="I5" i="12" s="1"/>
  <c r="H5" i="12"/>
  <c r="F6" i="12"/>
  <c r="G6" i="12" s="1"/>
  <c r="I6" i="12" s="1"/>
  <c r="H6" i="12"/>
  <c r="F7" i="12"/>
  <c r="G7" i="12" s="1"/>
  <c r="H7" i="12"/>
  <c r="I7" i="12"/>
  <c r="J7" i="12"/>
  <c r="F8" i="12"/>
  <c r="G8" i="12" s="1"/>
  <c r="H8" i="12"/>
  <c r="F9" i="12"/>
  <c r="G9" i="12" s="1"/>
  <c r="I9" i="12" s="1"/>
  <c r="H9" i="12"/>
  <c r="F10" i="12"/>
  <c r="G10" i="12" s="1"/>
  <c r="I10" i="12" s="1"/>
  <c r="H10" i="12"/>
  <c r="F11" i="12"/>
  <c r="G11" i="12" s="1"/>
  <c r="H11" i="12"/>
  <c r="F12" i="12"/>
  <c r="G12" i="12" s="1"/>
  <c r="H12" i="12"/>
  <c r="H3" i="12"/>
  <c r="F3" i="12"/>
  <c r="G3" i="12" s="1"/>
  <c r="G15" i="10"/>
  <c r="G12" i="10"/>
  <c r="G9" i="10"/>
  <c r="G6" i="10"/>
  <c r="G3" i="10"/>
  <c r="G14" i="10"/>
  <c r="G11" i="10"/>
  <c r="G8" i="10"/>
  <c r="G5" i="10"/>
  <c r="G2" i="10"/>
  <c r="D4" i="10"/>
  <c r="D5" i="10"/>
  <c r="D6" i="10"/>
  <c r="D7" i="10"/>
  <c r="D8" i="10"/>
  <c r="D9" i="10"/>
  <c r="D3" i="10"/>
  <c r="H3" i="9"/>
  <c r="G3" i="9"/>
  <c r="E4" i="9"/>
  <c r="F4" i="9"/>
  <c r="G4" i="9"/>
  <c r="H4" i="9"/>
  <c r="E5" i="9"/>
  <c r="F5" i="9"/>
  <c r="G5" i="9"/>
  <c r="H5" i="9"/>
  <c r="E6" i="9"/>
  <c r="F6" i="9"/>
  <c r="G6" i="9"/>
  <c r="H6" i="9"/>
  <c r="E7" i="9"/>
  <c r="F7" i="9"/>
  <c r="G7" i="9"/>
  <c r="H7" i="9"/>
  <c r="F3" i="9"/>
  <c r="E3" i="9"/>
  <c r="E4" i="8"/>
  <c r="F4" i="8"/>
  <c r="H4" i="8"/>
  <c r="I4" i="8"/>
  <c r="J4" i="8"/>
  <c r="E5" i="8"/>
  <c r="F5" i="8"/>
  <c r="H5" i="8"/>
  <c r="I5" i="8"/>
  <c r="J5" i="8"/>
  <c r="E6" i="8"/>
  <c r="F6" i="8"/>
  <c r="H6" i="8"/>
  <c r="I6" i="8"/>
  <c r="J6" i="8"/>
  <c r="E7" i="8"/>
  <c r="F7" i="8"/>
  <c r="H7" i="8"/>
  <c r="I7" i="8"/>
  <c r="J7" i="8"/>
  <c r="E8" i="8"/>
  <c r="F8" i="8"/>
  <c r="H8" i="8"/>
  <c r="I8" i="8"/>
  <c r="J8" i="8"/>
  <c r="E9" i="8"/>
  <c r="G9" i="8" s="1"/>
  <c r="F9" i="8"/>
  <c r="H9" i="8"/>
  <c r="I9" i="8"/>
  <c r="J9" i="8"/>
  <c r="G5" i="8" l="1"/>
  <c r="K7" i="8"/>
  <c r="K6" i="8"/>
  <c r="G4" i="8"/>
  <c r="K9" i="8"/>
  <c r="L9" i="8" s="1"/>
  <c r="G8" i="8"/>
  <c r="K5" i="8"/>
  <c r="L5" i="8" s="1"/>
  <c r="K8" i="8"/>
  <c r="G6" i="8"/>
  <c r="K4" i="8"/>
  <c r="G23" i="3"/>
  <c r="G24" i="3"/>
  <c r="G25" i="3"/>
  <c r="G26" i="3" s="1"/>
  <c r="H26" i="3"/>
  <c r="H25" i="3"/>
  <c r="H24" i="3"/>
  <c r="H23" i="3"/>
  <c r="D26" i="3"/>
  <c r="D25" i="3"/>
  <c r="D23" i="3"/>
  <c r="D24" i="3"/>
  <c r="I11" i="12"/>
  <c r="J11" i="12"/>
  <c r="J8" i="12"/>
  <c r="I8" i="12"/>
  <c r="J12" i="12"/>
  <c r="I12" i="12"/>
  <c r="J10" i="12"/>
  <c r="J6" i="12"/>
  <c r="J9" i="12"/>
  <c r="J5" i="12"/>
  <c r="C14" i="10"/>
  <c r="C13" i="10"/>
  <c r="C12" i="10"/>
  <c r="C11" i="10"/>
  <c r="D12" i="3"/>
  <c r="D11" i="3"/>
  <c r="E11" i="3"/>
  <c r="D10" i="3"/>
  <c r="D13" i="3" s="1"/>
  <c r="E10" i="3"/>
  <c r="C10" i="3"/>
  <c r="C13" i="3" s="1"/>
  <c r="C11" i="3"/>
  <c r="C12" i="3"/>
  <c r="E5" i="3"/>
  <c r="F5" i="3" s="1"/>
  <c r="G5" i="3" s="1"/>
  <c r="E6" i="3"/>
  <c r="F6" i="3" s="1"/>
  <c r="E7" i="3"/>
  <c r="G7" i="3" s="1"/>
  <c r="F7" i="3"/>
  <c r="E8" i="3"/>
  <c r="E12" i="3" s="1"/>
  <c r="E4" i="3"/>
  <c r="F4" i="3" s="1"/>
  <c r="L6" i="8" l="1"/>
  <c r="L7" i="8"/>
  <c r="G12" i="8"/>
  <c r="N5" i="3"/>
  <c r="F11" i="3"/>
  <c r="F10" i="3"/>
  <c r="G4" i="3"/>
  <c r="F8" i="3"/>
  <c r="F12" i="3" s="1"/>
  <c r="E13" i="3"/>
  <c r="L8" i="8"/>
  <c r="L4" i="8"/>
  <c r="I7" i="3"/>
  <c r="H7" i="3"/>
  <c r="J7" i="3"/>
  <c r="K7" i="3" s="1"/>
  <c r="I5" i="3"/>
  <c r="J5" i="3"/>
  <c r="K5" i="3" s="1"/>
  <c r="H5" i="3"/>
  <c r="G6" i="3"/>
  <c r="L12" i="8" l="1"/>
  <c r="J4" i="3"/>
  <c r="H4" i="3"/>
  <c r="K4" i="3"/>
  <c r="G11" i="3"/>
  <c r="G10" i="3"/>
  <c r="I4" i="3"/>
  <c r="F13" i="3"/>
  <c r="G8" i="3"/>
  <c r="J6" i="3"/>
  <c r="K6" i="3" s="1"/>
  <c r="H6" i="3"/>
  <c r="I6" i="3"/>
  <c r="I10" i="3" l="1"/>
  <c r="I11" i="3"/>
  <c r="J11" i="3"/>
  <c r="J10" i="3"/>
  <c r="N6" i="3"/>
  <c r="K11" i="3"/>
  <c r="K10" i="3"/>
  <c r="H10" i="3"/>
  <c r="H11" i="3"/>
  <c r="O10" i="3"/>
  <c r="H8" i="3"/>
  <c r="G12" i="3"/>
  <c r="I8" i="3"/>
  <c r="G13" i="3"/>
  <c r="J8" i="3"/>
  <c r="B13" i="2"/>
  <c r="B11" i="2"/>
  <c r="H7" i="2"/>
  <c r="H6" i="2"/>
  <c r="E7" i="2"/>
  <c r="E5" i="2"/>
  <c r="B5" i="2"/>
  <c r="J12" i="3" l="1"/>
  <c r="J13" i="3"/>
  <c r="I12" i="3"/>
  <c r="I13" i="3"/>
  <c r="K8" i="3"/>
  <c r="H12" i="3"/>
  <c r="H13" i="3"/>
  <c r="E6" i="1"/>
  <c r="E5" i="1"/>
  <c r="E4" i="1"/>
  <c r="B7" i="1"/>
  <c r="B6" i="1"/>
  <c r="B5" i="1"/>
  <c r="B4" i="1"/>
  <c r="K12" i="3" l="1"/>
  <c r="K13" i="3"/>
</calcChain>
</file>

<file path=xl/sharedStrings.xml><?xml version="1.0" encoding="utf-8"?>
<sst xmlns="http://schemas.openxmlformats.org/spreadsheetml/2006/main" count="352" uniqueCount="158">
  <si>
    <t>First Number</t>
  </si>
  <si>
    <t>Second Number</t>
  </si>
  <si>
    <t>Addition</t>
  </si>
  <si>
    <t>Substraction</t>
  </si>
  <si>
    <t>Multiplication</t>
  </si>
  <si>
    <t>Division</t>
  </si>
  <si>
    <t>"Arthmetic Operations"</t>
  </si>
  <si>
    <t>"Finding Total"</t>
  </si>
  <si>
    <t>"Simple Interest"</t>
  </si>
  <si>
    <t>"Electricity Bill"</t>
  </si>
  <si>
    <t>"Phone Bill"</t>
  </si>
  <si>
    <t>PRINCIPLE AMOUNT</t>
  </si>
  <si>
    <t>Meter Number</t>
  </si>
  <si>
    <t>Phone Number</t>
  </si>
  <si>
    <t>TIME/MONTHS</t>
  </si>
  <si>
    <t>Present Reading</t>
  </si>
  <si>
    <t>Calls</t>
  </si>
  <si>
    <t>RATE OF INTEREST</t>
  </si>
  <si>
    <t>Past Reading</t>
  </si>
  <si>
    <t>Free Calls</t>
  </si>
  <si>
    <t>SIMPLE INTEREST</t>
  </si>
  <si>
    <t>Consumed Unit</t>
  </si>
  <si>
    <t>Call Rate</t>
  </si>
  <si>
    <t>Rate Of Unit</t>
  </si>
  <si>
    <t>Total calls</t>
  </si>
  <si>
    <t>calls - free calls</t>
  </si>
  <si>
    <t>"Water Bill"</t>
  </si>
  <si>
    <t>Bill</t>
  </si>
  <si>
    <t>call rate*total calls</t>
  </si>
  <si>
    <t>"Product Details"</t>
  </si>
  <si>
    <t>GST@12%</t>
  </si>
  <si>
    <t>Barcode</t>
  </si>
  <si>
    <t>Items</t>
  </si>
  <si>
    <t>QTY</t>
  </si>
  <si>
    <t>Rate</t>
  </si>
  <si>
    <t>Amount</t>
  </si>
  <si>
    <t>Discount@12%</t>
  </si>
  <si>
    <t>AAD</t>
  </si>
  <si>
    <t>CGST@6%</t>
  </si>
  <si>
    <t>SGST@6%</t>
  </si>
  <si>
    <t>IGST@12%</t>
  </si>
  <si>
    <t>Net</t>
  </si>
  <si>
    <t>Table</t>
  </si>
  <si>
    <t>pencil</t>
  </si>
  <si>
    <t>Chair</t>
  </si>
  <si>
    <t>Book</t>
  </si>
  <si>
    <t>bags</t>
  </si>
  <si>
    <t>Total</t>
  </si>
  <si>
    <t>Min</t>
  </si>
  <si>
    <t>Max</t>
  </si>
  <si>
    <t>Average</t>
  </si>
  <si>
    <t>"Employee Pay Slip"</t>
  </si>
  <si>
    <t>E Code</t>
  </si>
  <si>
    <t>E Name</t>
  </si>
  <si>
    <t>Design</t>
  </si>
  <si>
    <t>Basic</t>
  </si>
  <si>
    <t>Hra</t>
  </si>
  <si>
    <t>Da</t>
  </si>
  <si>
    <t>Gross</t>
  </si>
  <si>
    <t>Pf</t>
  </si>
  <si>
    <t>Tax</t>
  </si>
  <si>
    <t>ESI</t>
  </si>
  <si>
    <t>Ded</t>
  </si>
  <si>
    <t>Rani</t>
  </si>
  <si>
    <t>Accountant</t>
  </si>
  <si>
    <t>suma</t>
  </si>
  <si>
    <t>Nayana</t>
  </si>
  <si>
    <t>Assi Ma</t>
  </si>
  <si>
    <t>Lalit</t>
  </si>
  <si>
    <t>Manager</t>
  </si>
  <si>
    <t>Rahul</t>
  </si>
  <si>
    <t>Madhu</t>
  </si>
  <si>
    <t>Offi Assi</t>
  </si>
  <si>
    <t>Priya</t>
  </si>
  <si>
    <t>Recei</t>
  </si>
  <si>
    <t>"Employee Details"</t>
  </si>
  <si>
    <t>EMP NO</t>
  </si>
  <si>
    <t>Name</t>
  </si>
  <si>
    <t>DOJ</t>
  </si>
  <si>
    <t>Years</t>
  </si>
  <si>
    <t>Months</t>
  </si>
  <si>
    <t>Days</t>
  </si>
  <si>
    <t>Total Exp</t>
  </si>
  <si>
    <t>Ajay</t>
  </si>
  <si>
    <t>Clerk</t>
  </si>
  <si>
    <t>Chetan</t>
  </si>
  <si>
    <t>Sales Man</t>
  </si>
  <si>
    <t>Deepak</t>
  </si>
  <si>
    <t>Acct</t>
  </si>
  <si>
    <t>Ganesh</t>
  </si>
  <si>
    <t>Supervisor</t>
  </si>
  <si>
    <t>Mahesh</t>
  </si>
  <si>
    <t>"Student Marks card"</t>
  </si>
  <si>
    <t>Subject</t>
  </si>
  <si>
    <t>Marks</t>
  </si>
  <si>
    <t>Remarks</t>
  </si>
  <si>
    <t>Physics</t>
  </si>
  <si>
    <t>Count</t>
  </si>
  <si>
    <t>Akash</t>
  </si>
  <si>
    <t>Arun</t>
  </si>
  <si>
    <t>Chemistry</t>
  </si>
  <si>
    <t>Biology</t>
  </si>
  <si>
    <t>Maths</t>
  </si>
  <si>
    <t>"Student Marks Details"</t>
  </si>
  <si>
    <t>RollNo</t>
  </si>
  <si>
    <t>Kan</t>
  </si>
  <si>
    <t>Eng</t>
  </si>
  <si>
    <t>Hin</t>
  </si>
  <si>
    <t>Per</t>
  </si>
  <si>
    <t>Result</t>
  </si>
  <si>
    <t>Grade</t>
  </si>
  <si>
    <t>apr</t>
  </si>
  <si>
    <t>aug</t>
  </si>
  <si>
    <t>feb</t>
  </si>
  <si>
    <t>jan</t>
  </si>
  <si>
    <t>jul</t>
  </si>
  <si>
    <t>jun</t>
  </si>
  <si>
    <t>mar</t>
  </si>
  <si>
    <t>may</t>
  </si>
  <si>
    <t>oct</t>
  </si>
  <si>
    <t>sep</t>
  </si>
  <si>
    <t>Sum of E Code</t>
  </si>
  <si>
    <t>Row Labels</t>
  </si>
  <si>
    <t>Grand Total</t>
  </si>
  <si>
    <t>Sum of Basic</t>
  </si>
  <si>
    <t>Sum of Hra</t>
  </si>
  <si>
    <t>Sum of Da</t>
  </si>
  <si>
    <t>Sum of Gross</t>
  </si>
  <si>
    <t>Sum of Pf</t>
  </si>
  <si>
    <t>Sum of Tax</t>
  </si>
  <si>
    <t>Sum of ESI</t>
  </si>
  <si>
    <t>Sum of Ded</t>
  </si>
  <si>
    <t>Sum of Net</t>
  </si>
  <si>
    <t>JAN</t>
  </si>
  <si>
    <t>FEB</t>
  </si>
  <si>
    <t>MAR</t>
  </si>
  <si>
    <t>Fail</t>
  </si>
  <si>
    <t>Pass</t>
  </si>
  <si>
    <t>A</t>
  </si>
  <si>
    <t>Outstanding</t>
  </si>
  <si>
    <t>B</t>
  </si>
  <si>
    <t>Excellent</t>
  </si>
  <si>
    <t>C</t>
  </si>
  <si>
    <t>Good</t>
  </si>
  <si>
    <t>kle</t>
  </si>
  <si>
    <t>Created by Keonics on 29-11-2019
Modified by Keonics on 29-11-2019</t>
  </si>
  <si>
    <t>bvb</t>
  </si>
  <si>
    <t>Created by Keonics on 29-11-2019</t>
  </si>
  <si>
    <t>jg</t>
  </si>
  <si>
    <t>Scenario Summary</t>
  </si>
  <si>
    <t>Changing Cells:</t>
  </si>
  <si>
    <t>Current Values:</t>
  </si>
  <si>
    <t>Notes:  Current Values column represents values of changing cells at</t>
  </si>
  <si>
    <t>time Scenario Summary Report was created.  Changing cells for each</t>
  </si>
  <si>
    <t>scenario are highlighted in gray.</t>
  </si>
  <si>
    <t>global</t>
  </si>
  <si>
    <t>अच्छा</t>
  </si>
  <si>
    <t>gfhfghg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</si>
</sst>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quot;Rs&quot;\ * #,##0.00_ ;_ &quot;Rs&quot;\ * \-#,##0.00_ ;_ &quot;Rs&quot;\ * &quot;-&quot;??_ ;_ @_ "/>
    <numFmt numFmtId="164" formatCode="_ [$₹-4009]\ * #,##0.00_ ;_ [$₹-4009]\ * \-#,##0.00_ ;_ [$₹-4009]\ * &quot;-&quot;??_ ;_ @_ "/>
  </numFmts>
  <fonts count="16" x14ac:knownFonts="1">
    <font>
      <sz val="11"/>
      <color theme="1"/>
      <name val="Calibri"/>
      <family val="2"/>
      <scheme val="minor"/>
    </font>
    <font>
      <b/>
      <i/>
      <u/>
      <sz val="11"/>
      <color rgb="FFFF0000"/>
      <name val="Calibri"/>
      <family val="2"/>
      <scheme val="minor"/>
    </font>
    <font>
      <b/>
      <i/>
      <u/>
      <sz val="16"/>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i/>
      <u/>
      <sz val="18"/>
      <color rgb="FFFF0000"/>
      <name val="Calibri"/>
      <family val="2"/>
      <scheme val="minor"/>
    </font>
    <font>
      <b/>
      <sz val="12"/>
      <color theme="1"/>
      <name val="Calibri"/>
      <family val="2"/>
      <scheme val="minor"/>
    </font>
    <font>
      <sz val="11"/>
      <color theme="1"/>
      <name val="Arial Narrow"/>
      <family val="2"/>
    </font>
    <font>
      <sz val="11"/>
      <name val="Calibri"/>
      <family val="2"/>
      <scheme val="minor"/>
    </font>
    <font>
      <b/>
      <i/>
      <u/>
      <sz val="14"/>
      <color rgb="FFFF000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6" tint="-0.249977111117893"/>
        <bgColor indexed="64"/>
      </patternFill>
    </fill>
    <fill>
      <patternFill patternType="solid">
        <fgColor theme="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double">
        <color rgb="FF7030A0"/>
      </left>
      <right style="double">
        <color rgb="FF7030A0"/>
      </right>
      <top style="double">
        <color rgb="FF7030A0"/>
      </top>
      <bottom style="double">
        <color rgb="FF7030A0"/>
      </bottom>
      <diagonal/>
    </border>
    <border>
      <left/>
      <right/>
      <top style="medium">
        <color indexed="64"/>
      </top>
      <bottom/>
      <diagonal/>
    </border>
    <border>
      <left/>
      <right/>
      <top style="thin">
        <color indexed="64"/>
      </top>
      <bottom style="thin">
        <color indexed="64"/>
      </bottom>
      <diagonal/>
    </border>
    <border>
      <left/>
      <right/>
      <top style="thin">
        <color indexed="64"/>
      </top>
      <bottom style="medium">
        <color indexed="64"/>
      </bottom>
      <diagonal/>
    </border>
  </borders>
  <cellStyleXfs count="2">
    <xf numFmtId="0" fontId="0" fillId="0" borderId="0"/>
    <xf numFmtId="44" fontId="3" fillId="0" borderId="0" applyFont="0" applyFill="0" applyBorder="0" applyAlignment="0" applyProtection="0"/>
  </cellStyleXfs>
  <cellXfs count="50">
    <xf numFmtId="0" fontId="0" fillId="0" borderId="0" xfId="0"/>
    <xf numFmtId="14" fontId="0" fillId="0" borderId="0" xfId="0" applyNumberFormat="1"/>
    <xf numFmtId="0" fontId="0" fillId="0" borderId="1" xfId="0" applyBorder="1"/>
    <xf numFmtId="0" fontId="0" fillId="0" borderId="1" xfId="0" applyFill="1" applyBorder="1"/>
    <xf numFmtId="2" fontId="0" fillId="0" borderId="1" xfId="0" applyNumberFormat="1" applyBorder="1"/>
    <xf numFmtId="0" fontId="4" fillId="0" borderId="1" xfId="0" applyFont="1" applyBorder="1" applyAlignment="1">
      <alignment horizontal="center" vertical="center"/>
    </xf>
    <xf numFmtId="0" fontId="7" fillId="0" borderId="1" xfId="0" applyFont="1" applyBorder="1" applyAlignment="1">
      <alignment horizontal="center" vertical="center"/>
    </xf>
    <xf numFmtId="164" fontId="7" fillId="4" borderId="1" xfId="0" applyNumberFormat="1" applyFont="1" applyFill="1" applyBorder="1" applyAlignment="1">
      <alignment horizontal="center" vertical="center"/>
    </xf>
    <xf numFmtId="164" fontId="7" fillId="0" borderId="1" xfId="0" applyNumberFormat="1" applyFont="1" applyBorder="1" applyAlignment="1">
      <alignment horizontal="center" vertical="center"/>
    </xf>
    <xf numFmtId="0" fontId="8" fillId="0" borderId="1" xfId="0" applyFont="1" applyBorder="1"/>
    <xf numFmtId="0" fontId="9" fillId="5" borderId="1" xfId="1" applyNumberFormat="1" applyFont="1" applyFill="1" applyBorder="1"/>
    <xf numFmtId="0" fontId="0" fillId="0" borderId="1" xfId="1" applyNumberFormat="1" applyFont="1" applyBorder="1"/>
    <xf numFmtId="0" fontId="9" fillId="5" borderId="1" xfId="0" applyFont="1" applyFill="1" applyBorder="1"/>
    <xf numFmtId="14" fontId="0" fillId="0" borderId="1" xfId="0" applyNumberFormat="1" applyBorder="1"/>
    <xf numFmtId="0" fontId="4" fillId="0" borderId="1" xfId="0" applyFont="1" applyBorder="1"/>
    <xf numFmtId="49" fontId="0" fillId="0" borderId="1" xfId="0" applyNumberFormat="1" applyBorder="1"/>
    <xf numFmtId="1" fontId="0" fillId="0" borderId="1" xfId="1" applyNumberFormat="1" applyFont="1" applyBorder="1"/>
    <xf numFmtId="0" fontId="9" fillId="5" borderId="0" xfId="1" applyNumberFormat="1" applyFont="1" applyFill="1" applyBorder="1"/>
    <xf numFmtId="1" fontId="0" fillId="0" borderId="0" xfId="0" applyNumberFormat="1"/>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4" fillId="0" borderId="1" xfId="0" applyFont="1" applyBorder="1" applyAlignment="1">
      <alignment horizontal="center" vertical="center"/>
    </xf>
    <xf numFmtId="0" fontId="0" fillId="0" borderId="3" xfId="0" applyBorder="1"/>
    <xf numFmtId="0" fontId="4" fillId="0" borderId="1" xfId="0" applyFont="1" applyBorder="1" applyAlignment="1">
      <alignment horizontal="center" vertical="center"/>
    </xf>
    <xf numFmtId="0" fontId="0" fillId="0" borderId="0" xfId="0" applyFill="1" applyBorder="1" applyAlignment="1"/>
    <xf numFmtId="0" fontId="11" fillId="6" borderId="2" xfId="0" applyFont="1" applyFill="1" applyBorder="1" applyAlignment="1">
      <alignment horizontal="left"/>
    </xf>
    <xf numFmtId="0" fontId="11" fillId="6" borderId="4" xfId="0" applyFont="1" applyFill="1" applyBorder="1" applyAlignment="1">
      <alignment horizontal="left"/>
    </xf>
    <xf numFmtId="0" fontId="0" fillId="0" borderId="5" xfId="0" applyFill="1" applyBorder="1" applyAlignment="1"/>
    <xf numFmtId="0" fontId="12" fillId="7" borderId="0" xfId="0" applyFont="1" applyFill="1" applyBorder="1" applyAlignment="1">
      <alignment horizontal="left"/>
    </xf>
    <xf numFmtId="0" fontId="13" fillId="7" borderId="5" xfId="0" applyFont="1" applyFill="1" applyBorder="1" applyAlignment="1">
      <alignment horizontal="left"/>
    </xf>
    <xf numFmtId="0" fontId="14" fillId="6" borderId="4" xfId="0" applyFont="1" applyFill="1" applyBorder="1" applyAlignment="1">
      <alignment horizontal="right"/>
    </xf>
    <xf numFmtId="0" fontId="14" fillId="6" borderId="2" xfId="0" applyFont="1" applyFill="1" applyBorder="1" applyAlignment="1">
      <alignment horizontal="right"/>
    </xf>
    <xf numFmtId="0" fontId="13" fillId="7" borderId="6" xfId="0" applyFont="1" applyFill="1" applyBorder="1" applyAlignment="1">
      <alignment horizontal="left"/>
    </xf>
    <xf numFmtId="0" fontId="0" fillId="0" borderId="6" xfId="0" applyFill="1" applyBorder="1" applyAlignment="1"/>
    <xf numFmtId="0" fontId="0" fillId="8" borderId="0" xfId="0" applyFill="1" applyBorder="1" applyAlignment="1"/>
    <xf numFmtId="0" fontId="15" fillId="0" borderId="0" xfId="0" applyFont="1" applyFill="1" applyBorder="1" applyAlignment="1">
      <alignment vertical="top" wrapText="1"/>
    </xf>
    <xf numFmtId="0" fontId="4" fillId="0" borderId="0" xfId="0" applyFo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6" fillId="2" borderId="1" xfId="0" applyFont="1" applyFill="1" applyBorder="1" applyAlignment="1">
      <alignment horizontal="center"/>
    </xf>
    <xf numFmtId="0" fontId="5" fillId="3" borderId="1" xfId="0" applyFont="1" applyFill="1" applyBorder="1" applyAlignment="1">
      <alignment horizontal="center"/>
    </xf>
    <xf numFmtId="0" fontId="0" fillId="0" borderId="2" xfId="0" applyBorder="1" applyAlignment="1">
      <alignment horizontal="center" vertical="center"/>
    </xf>
    <xf numFmtId="0" fontId="10" fillId="2" borderId="3" xfId="0" applyFont="1" applyFill="1" applyBorder="1" applyAlignment="1">
      <alignment horizontal="center" vertical="center"/>
    </xf>
    <xf numFmtId="0" fontId="10" fillId="2" borderId="1" xfId="0" applyFont="1" applyFill="1" applyBorder="1" applyAlignment="1">
      <alignment horizontal="center" vertical="center"/>
    </xf>
    <xf numFmtId="0" fontId="4" fillId="0" borderId="1" xfId="0" applyFont="1" applyBorder="1" applyAlignment="1">
      <alignment horizontal="center" vertical="center"/>
    </xf>
    <xf numFmtId="0" fontId="2" fillId="2" borderId="0" xfId="0" applyFont="1" applyFill="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worksheet" Target="worksheets/sheet10.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5" Type="http://schemas.openxmlformats.org/officeDocument/2006/relationships/chartsheet" Target="chartsheets/sheet1.xml"/><Relationship Id="rId15" Type="http://schemas.openxmlformats.org/officeDocument/2006/relationships/theme" Target="theme/theme1.xml"/><Relationship Id="rId10" Type="http://schemas.openxmlformats.org/officeDocument/2006/relationships/worksheet" Target="worksheets/sheet8.xml"/><Relationship Id="rId19"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worksheet" Target="worksheets/sheet7.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image" Target="../media/image1.jp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2.jpg"/><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tx>
            <c:strRef>
              <c:f>EMP!$A$3:$C$3</c:f>
              <c:strCache>
                <c:ptCount val="3"/>
                <c:pt idx="0">
                  <c:v>101</c:v>
                </c:pt>
                <c:pt idx="1">
                  <c:v>Rani</c:v>
                </c:pt>
                <c:pt idx="2">
                  <c:v>Accountant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38100" cap="rnd">
                <a:solidFill>
                  <a:srgbClr val="FF0000"/>
                </a:solidFill>
                <a:prstDash val="solid"/>
                <a:headEnd type="none" w="med" len="med"/>
                <a:tailEnd type="arrow" w="med" len="med"/>
              </a:ln>
              <a:effectLst/>
            </c:spPr>
            <c:trendlineType val="movingAvg"/>
            <c:period val="2"/>
            <c:dispRSqr val="0"/>
            <c:dispEq val="0"/>
          </c:trendline>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EMP!$D$3:$L$3</c:f>
              <c:numCache>
                <c:formatCode>General</c:formatCode>
                <c:ptCount val="9"/>
                <c:pt idx="0">
                  <c:v>15000</c:v>
                </c:pt>
                <c:pt idx="1">
                  <c:v>4800</c:v>
                </c:pt>
                <c:pt idx="2">
                  <c:v>2400</c:v>
                </c:pt>
                <c:pt idx="3">
                  <c:v>22200</c:v>
                </c:pt>
                <c:pt idx="4">
                  <c:v>1800</c:v>
                </c:pt>
                <c:pt idx="5">
                  <c:v>150</c:v>
                </c:pt>
                <c:pt idx="6" formatCode="0">
                  <c:v>262.5</c:v>
                </c:pt>
                <c:pt idx="7" formatCode="0">
                  <c:v>2212.5</c:v>
                </c:pt>
                <c:pt idx="8" formatCode="0">
                  <c:v>19987.5</c:v>
                </c:pt>
              </c:numCache>
            </c:numRef>
          </c:val>
        </c:ser>
        <c:ser>
          <c:idx val="1"/>
          <c:order val="1"/>
          <c:tx>
            <c:strRef>
              <c:f>EMP!$A$4:$C$4</c:f>
              <c:strCache>
                <c:ptCount val="3"/>
                <c:pt idx="0">
                  <c:v>102</c:v>
                </c:pt>
                <c:pt idx="1">
                  <c:v>suma</c:v>
                </c:pt>
                <c:pt idx="2">
                  <c:v>Accountant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EMP!$D$4:$L$4</c:f>
              <c:numCache>
                <c:formatCode>General</c:formatCode>
                <c:ptCount val="9"/>
                <c:pt idx="0">
                  <c:v>15000</c:v>
                </c:pt>
                <c:pt idx="1">
                  <c:v>4800</c:v>
                </c:pt>
                <c:pt idx="2">
                  <c:v>2400</c:v>
                </c:pt>
                <c:pt idx="3">
                  <c:v>22200</c:v>
                </c:pt>
                <c:pt idx="4">
                  <c:v>1800</c:v>
                </c:pt>
                <c:pt idx="5">
                  <c:v>150</c:v>
                </c:pt>
                <c:pt idx="6" formatCode="0">
                  <c:v>262.5</c:v>
                </c:pt>
                <c:pt idx="7">
                  <c:v>2212.5</c:v>
                </c:pt>
                <c:pt idx="8" formatCode="0">
                  <c:v>19987.5</c:v>
                </c:pt>
              </c:numCache>
            </c:numRef>
          </c:val>
        </c:ser>
        <c:ser>
          <c:idx val="2"/>
          <c:order val="2"/>
          <c:tx>
            <c:strRef>
              <c:f>EMP!$A$5:$C$5</c:f>
              <c:strCache>
                <c:ptCount val="3"/>
                <c:pt idx="0">
                  <c:v>103</c:v>
                </c:pt>
                <c:pt idx="1">
                  <c:v>Nayana</c:v>
                </c:pt>
                <c:pt idx="2">
                  <c:v>Assi Ma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EMP!$D$5:$L$5</c:f>
              <c:numCache>
                <c:formatCode>General</c:formatCode>
                <c:ptCount val="9"/>
                <c:pt idx="0">
                  <c:v>10000</c:v>
                </c:pt>
                <c:pt idx="1">
                  <c:v>3200</c:v>
                </c:pt>
                <c:pt idx="2">
                  <c:v>1600</c:v>
                </c:pt>
                <c:pt idx="3">
                  <c:v>14800</c:v>
                </c:pt>
                <c:pt idx="4">
                  <c:v>1200</c:v>
                </c:pt>
                <c:pt idx="5">
                  <c:v>100</c:v>
                </c:pt>
                <c:pt idx="6" formatCode="0">
                  <c:v>175</c:v>
                </c:pt>
                <c:pt idx="7">
                  <c:v>1475</c:v>
                </c:pt>
                <c:pt idx="8" formatCode="0">
                  <c:v>13325</c:v>
                </c:pt>
              </c:numCache>
            </c:numRef>
          </c:val>
        </c:ser>
        <c:ser>
          <c:idx val="3"/>
          <c:order val="3"/>
          <c:tx>
            <c:strRef>
              <c:f>EMP!$A$6:$C$6</c:f>
              <c:strCache>
                <c:ptCount val="3"/>
                <c:pt idx="0">
                  <c:v>104</c:v>
                </c:pt>
                <c:pt idx="1">
                  <c:v>Lalit</c:v>
                </c:pt>
                <c:pt idx="2">
                  <c:v>Manager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EMP!$D$6:$L$6</c:f>
              <c:numCache>
                <c:formatCode>General</c:formatCode>
                <c:ptCount val="9"/>
                <c:pt idx="0">
                  <c:v>20000</c:v>
                </c:pt>
                <c:pt idx="1">
                  <c:v>6400</c:v>
                </c:pt>
                <c:pt idx="2">
                  <c:v>3200</c:v>
                </c:pt>
                <c:pt idx="3">
                  <c:v>29600</c:v>
                </c:pt>
                <c:pt idx="4">
                  <c:v>2400</c:v>
                </c:pt>
                <c:pt idx="5">
                  <c:v>200</c:v>
                </c:pt>
                <c:pt idx="6" formatCode="0">
                  <c:v>350</c:v>
                </c:pt>
                <c:pt idx="7">
                  <c:v>2950</c:v>
                </c:pt>
                <c:pt idx="8" formatCode="0">
                  <c:v>26650</c:v>
                </c:pt>
              </c:numCache>
            </c:numRef>
          </c:val>
        </c:ser>
        <c:ser>
          <c:idx val="4"/>
          <c:order val="4"/>
          <c:tx>
            <c:strRef>
              <c:f>EMP!$A$7:$C$7</c:f>
              <c:strCache>
                <c:ptCount val="3"/>
                <c:pt idx="0">
                  <c:v>105</c:v>
                </c:pt>
                <c:pt idx="1">
                  <c:v>Rahul</c:v>
                </c:pt>
                <c:pt idx="2">
                  <c:v>Manager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EMP!$D$7:$L$7</c:f>
              <c:numCache>
                <c:formatCode>General</c:formatCode>
                <c:ptCount val="9"/>
                <c:pt idx="0">
                  <c:v>19000</c:v>
                </c:pt>
                <c:pt idx="1">
                  <c:v>6080</c:v>
                </c:pt>
                <c:pt idx="2">
                  <c:v>3040</c:v>
                </c:pt>
                <c:pt idx="3">
                  <c:v>28120</c:v>
                </c:pt>
                <c:pt idx="4">
                  <c:v>2280</c:v>
                </c:pt>
                <c:pt idx="5">
                  <c:v>190</c:v>
                </c:pt>
                <c:pt idx="6" formatCode="0">
                  <c:v>332.5</c:v>
                </c:pt>
                <c:pt idx="7">
                  <c:v>2802.5</c:v>
                </c:pt>
                <c:pt idx="8" formatCode="0">
                  <c:v>25317.5</c:v>
                </c:pt>
              </c:numCache>
            </c:numRef>
          </c:val>
        </c:ser>
        <c:ser>
          <c:idx val="5"/>
          <c:order val="5"/>
          <c:tx>
            <c:strRef>
              <c:f>EMP!$A$8:$C$8</c:f>
              <c:strCache>
                <c:ptCount val="3"/>
                <c:pt idx="0">
                  <c:v>106</c:v>
                </c:pt>
                <c:pt idx="1">
                  <c:v>Madhu</c:v>
                </c:pt>
                <c:pt idx="2">
                  <c:v>Offi Assi</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EMP!$D$8:$L$8</c:f>
              <c:numCache>
                <c:formatCode>General</c:formatCode>
                <c:ptCount val="9"/>
                <c:pt idx="0">
                  <c:v>9005.6285178236394</c:v>
                </c:pt>
                <c:pt idx="1">
                  <c:v>2881.8011257035646</c:v>
                </c:pt>
                <c:pt idx="2">
                  <c:v>1440.9005628517823</c:v>
                </c:pt>
                <c:pt idx="3">
                  <c:v>13328.330206378987</c:v>
                </c:pt>
                <c:pt idx="4">
                  <c:v>1080.6754221388367</c:v>
                </c:pt>
                <c:pt idx="5">
                  <c:v>90.056285178236394</c:v>
                </c:pt>
                <c:pt idx="6" formatCode="0">
                  <c:v>157.59849906191369</c:v>
                </c:pt>
                <c:pt idx="7">
                  <c:v>1328.3302063789865</c:v>
                </c:pt>
                <c:pt idx="8" formatCode="0">
                  <c:v>12000</c:v>
                </c:pt>
              </c:numCache>
            </c:numRef>
          </c:val>
        </c:ser>
        <c:ser>
          <c:idx val="6"/>
          <c:order val="6"/>
          <c:tx>
            <c:strRef>
              <c:f>EMP!$A$9:$C$9</c:f>
              <c:strCache>
                <c:ptCount val="3"/>
                <c:pt idx="0">
                  <c:v>107</c:v>
                </c:pt>
                <c:pt idx="1">
                  <c:v>Priya</c:v>
                </c:pt>
                <c:pt idx="2">
                  <c:v>Recei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EMP!$D$9:$L$9</c:f>
              <c:numCache>
                <c:formatCode>General</c:formatCode>
                <c:ptCount val="9"/>
                <c:pt idx="0">
                  <c:v>12000</c:v>
                </c:pt>
                <c:pt idx="1">
                  <c:v>3840</c:v>
                </c:pt>
                <c:pt idx="2">
                  <c:v>1920</c:v>
                </c:pt>
                <c:pt idx="3">
                  <c:v>17760</c:v>
                </c:pt>
                <c:pt idx="4">
                  <c:v>1440</c:v>
                </c:pt>
                <c:pt idx="5">
                  <c:v>120</c:v>
                </c:pt>
                <c:pt idx="6" formatCode="0">
                  <c:v>210</c:v>
                </c:pt>
                <c:pt idx="7">
                  <c:v>1770</c:v>
                </c:pt>
                <c:pt idx="8" formatCode="0">
                  <c:v>15990</c:v>
                </c:pt>
              </c:numCache>
            </c:numRef>
          </c:val>
        </c:ser>
        <c:dLbls>
          <c:dLblPos val="outEnd"/>
          <c:showLegendKey val="0"/>
          <c:showVal val="1"/>
          <c:showCatName val="0"/>
          <c:showSerName val="0"/>
          <c:showPercent val="0"/>
          <c:showBubbleSize val="0"/>
        </c:dLbls>
        <c:gapWidth val="219"/>
        <c:overlap val="-27"/>
        <c:axId val="401852544"/>
        <c:axId val="401853328"/>
      </c:barChart>
      <c:catAx>
        <c:axId val="40185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853328"/>
        <c:crosses val="autoZero"/>
        <c:auto val="1"/>
        <c:lblAlgn val="ctr"/>
        <c:lblOffset val="100"/>
        <c:noMultiLvlLbl val="0"/>
      </c:catAx>
      <c:valAx>
        <c:axId val="4018533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19050" cap="flat" cmpd="sng" algn="ctr">
              <a:solidFill>
                <a:schemeClr val="accent3"/>
              </a:solidFill>
              <a:prstDash val="solid"/>
              <a:miter lim="800000"/>
            </a:ln>
            <a:effectLst/>
          </c:spPr>
        </c:minorGridlines>
        <c:title>
          <c:overlay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401852544"/>
        <c:crosses val="autoZero"/>
        <c:crossBetween val="between"/>
      </c:valAx>
      <c:dTable>
        <c:showHorzBorder val="1"/>
        <c:showVertBorder val="1"/>
        <c:showOutline val="1"/>
        <c:showKeys val="1"/>
        <c:spPr>
          <a:noFill/>
          <a:ln w="19050" cap="flat" cmpd="sng" algn="ctr">
            <a:solidFill>
              <a:schemeClr val="accent6"/>
            </a:solidFill>
            <a:prstDash val="solid"/>
            <a:miter lim="800000"/>
          </a:ln>
          <a:effectLst/>
        </c:spPr>
        <c:txPr>
          <a:bodyPr rot="0" spcFirstLastPara="1" vertOverflow="ellipsis" vert="horz" wrap="square" anchor="ctr" anchorCtr="1"/>
          <a:lstStyle/>
          <a:p>
            <a:pPr rtl="0">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Table>
      <c:spPr>
        <a:noFill/>
        <a:ln>
          <a:noFill/>
        </a:ln>
        <a:effectLst/>
      </c:spPr>
    </c:plotArea>
    <c:legend>
      <c:legendPos val="t"/>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blipFill dpi="0" rotWithShape="1">
      <a:blip xmlns:r="http://schemas.openxmlformats.org/officeDocument/2006/relationships" r:embed="rId3">
        <a:extLst>
          <a:ext uri="{28A0092B-C50C-407E-A947-70E740481C1C}">
            <a14:useLocalDpi xmlns:a14="http://schemas.microsoft.com/office/drawing/2010/main" val="0"/>
          </a:ext>
        </a:extLst>
      </a:blip>
      <a:srcRect/>
      <a:stretch>
        <a:fillRect/>
      </a:stretch>
    </a:blip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batch nov 6.xlsx]pivot!PivotTable1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barChart>
        <c:barDir val="col"/>
        <c:grouping val="clustered"/>
        <c:varyColors val="0"/>
        <c:ser>
          <c:idx val="0"/>
          <c:order val="0"/>
          <c:tx>
            <c:strRef>
              <c:f>pivot!$B$3</c:f>
              <c:strCache>
                <c:ptCount val="1"/>
                <c:pt idx="0">
                  <c:v>Sum of E Code</c:v>
                </c:pt>
              </c:strCache>
            </c:strRef>
          </c:tx>
          <c:spPr>
            <a:solidFill>
              <a:schemeClr val="accent1"/>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pivot!$B$4:$B$18</c:f>
              <c:numCache>
                <c:formatCode>General</c:formatCode>
                <c:ptCount val="7"/>
                <c:pt idx="0">
                  <c:v>104</c:v>
                </c:pt>
                <c:pt idx="1">
                  <c:v>106</c:v>
                </c:pt>
                <c:pt idx="2">
                  <c:v>103</c:v>
                </c:pt>
                <c:pt idx="3">
                  <c:v>107</c:v>
                </c:pt>
                <c:pt idx="4">
                  <c:v>105</c:v>
                </c:pt>
                <c:pt idx="5">
                  <c:v>101</c:v>
                </c:pt>
                <c:pt idx="6">
                  <c:v>102</c:v>
                </c:pt>
              </c:numCache>
            </c:numRef>
          </c:val>
        </c:ser>
        <c:ser>
          <c:idx val="1"/>
          <c:order val="1"/>
          <c:tx>
            <c:strRef>
              <c:f>pivot!$C$3</c:f>
              <c:strCache>
                <c:ptCount val="1"/>
                <c:pt idx="0">
                  <c:v>Sum of Hra</c:v>
                </c:pt>
              </c:strCache>
            </c:strRef>
          </c:tx>
          <c:spPr>
            <a:solidFill>
              <a:schemeClr val="accent2"/>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pivot!$C$4:$C$18</c:f>
              <c:numCache>
                <c:formatCode>General</c:formatCode>
                <c:ptCount val="7"/>
                <c:pt idx="0">
                  <c:v>6400</c:v>
                </c:pt>
                <c:pt idx="1">
                  <c:v>2560</c:v>
                </c:pt>
                <c:pt idx="2">
                  <c:v>3200</c:v>
                </c:pt>
                <c:pt idx="3">
                  <c:v>3840</c:v>
                </c:pt>
                <c:pt idx="4">
                  <c:v>6080</c:v>
                </c:pt>
                <c:pt idx="5">
                  <c:v>4800</c:v>
                </c:pt>
                <c:pt idx="6">
                  <c:v>4800</c:v>
                </c:pt>
              </c:numCache>
            </c:numRef>
          </c:val>
        </c:ser>
        <c:ser>
          <c:idx val="2"/>
          <c:order val="2"/>
          <c:tx>
            <c:strRef>
              <c:f>pivot!$D$3</c:f>
              <c:strCache>
                <c:ptCount val="1"/>
                <c:pt idx="0">
                  <c:v>Sum of Da</c:v>
                </c:pt>
              </c:strCache>
            </c:strRef>
          </c:tx>
          <c:spPr>
            <a:solidFill>
              <a:schemeClr val="accent3"/>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pivot!$D$4:$D$18</c:f>
              <c:numCache>
                <c:formatCode>General</c:formatCode>
                <c:ptCount val="7"/>
                <c:pt idx="0">
                  <c:v>3200</c:v>
                </c:pt>
                <c:pt idx="1">
                  <c:v>1280</c:v>
                </c:pt>
                <c:pt idx="2">
                  <c:v>1600</c:v>
                </c:pt>
                <c:pt idx="3">
                  <c:v>1920</c:v>
                </c:pt>
                <c:pt idx="4">
                  <c:v>3040</c:v>
                </c:pt>
                <c:pt idx="5">
                  <c:v>2400</c:v>
                </c:pt>
                <c:pt idx="6">
                  <c:v>2400</c:v>
                </c:pt>
              </c:numCache>
            </c:numRef>
          </c:val>
        </c:ser>
        <c:ser>
          <c:idx val="3"/>
          <c:order val="3"/>
          <c:tx>
            <c:strRef>
              <c:f>pivot!$E$3</c:f>
              <c:strCache>
                <c:ptCount val="1"/>
                <c:pt idx="0">
                  <c:v>Sum of Gross</c:v>
                </c:pt>
              </c:strCache>
            </c:strRef>
          </c:tx>
          <c:spPr>
            <a:solidFill>
              <a:schemeClr val="accent4"/>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pivot!$E$4:$E$18</c:f>
              <c:numCache>
                <c:formatCode>General</c:formatCode>
                <c:ptCount val="7"/>
                <c:pt idx="0">
                  <c:v>29600</c:v>
                </c:pt>
                <c:pt idx="1">
                  <c:v>11840</c:v>
                </c:pt>
                <c:pt idx="2">
                  <c:v>14800</c:v>
                </c:pt>
                <c:pt idx="3">
                  <c:v>17760</c:v>
                </c:pt>
                <c:pt idx="4">
                  <c:v>28120</c:v>
                </c:pt>
                <c:pt idx="5">
                  <c:v>22200</c:v>
                </c:pt>
                <c:pt idx="6">
                  <c:v>22200</c:v>
                </c:pt>
              </c:numCache>
            </c:numRef>
          </c:val>
        </c:ser>
        <c:ser>
          <c:idx val="4"/>
          <c:order val="4"/>
          <c:tx>
            <c:strRef>
              <c:f>pivot!$F$3</c:f>
              <c:strCache>
                <c:ptCount val="1"/>
                <c:pt idx="0">
                  <c:v>Sum of Pf</c:v>
                </c:pt>
              </c:strCache>
            </c:strRef>
          </c:tx>
          <c:spPr>
            <a:solidFill>
              <a:schemeClr val="accent5"/>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pivot!$F$4:$F$18</c:f>
              <c:numCache>
                <c:formatCode>General</c:formatCode>
                <c:ptCount val="7"/>
                <c:pt idx="0">
                  <c:v>2400</c:v>
                </c:pt>
                <c:pt idx="1">
                  <c:v>960</c:v>
                </c:pt>
                <c:pt idx="2">
                  <c:v>1200</c:v>
                </c:pt>
                <c:pt idx="3">
                  <c:v>1440</c:v>
                </c:pt>
                <c:pt idx="4">
                  <c:v>2280</c:v>
                </c:pt>
                <c:pt idx="5">
                  <c:v>1800</c:v>
                </c:pt>
                <c:pt idx="6">
                  <c:v>1800</c:v>
                </c:pt>
              </c:numCache>
            </c:numRef>
          </c:val>
        </c:ser>
        <c:ser>
          <c:idx val="5"/>
          <c:order val="5"/>
          <c:tx>
            <c:strRef>
              <c:f>pivot!$G$3</c:f>
              <c:strCache>
                <c:ptCount val="1"/>
                <c:pt idx="0">
                  <c:v>Sum of Net</c:v>
                </c:pt>
              </c:strCache>
            </c:strRef>
          </c:tx>
          <c:spPr>
            <a:solidFill>
              <a:schemeClr val="accent6"/>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pivot!$G$4:$G$18</c:f>
              <c:numCache>
                <c:formatCode>General</c:formatCode>
                <c:ptCount val="7"/>
                <c:pt idx="0">
                  <c:v>26650</c:v>
                </c:pt>
                <c:pt idx="1">
                  <c:v>10660</c:v>
                </c:pt>
                <c:pt idx="2">
                  <c:v>13325</c:v>
                </c:pt>
                <c:pt idx="3">
                  <c:v>15990</c:v>
                </c:pt>
                <c:pt idx="4">
                  <c:v>25317.5</c:v>
                </c:pt>
                <c:pt idx="5">
                  <c:v>19987.5</c:v>
                </c:pt>
                <c:pt idx="6">
                  <c:v>19987.5</c:v>
                </c:pt>
              </c:numCache>
            </c:numRef>
          </c:val>
        </c:ser>
        <c:ser>
          <c:idx val="6"/>
          <c:order val="6"/>
          <c:tx>
            <c:strRef>
              <c:f>pivot!$H$3</c:f>
              <c:strCache>
                <c:ptCount val="1"/>
                <c:pt idx="0">
                  <c:v>Sum of Basic</c:v>
                </c:pt>
              </c:strCache>
            </c:strRef>
          </c:tx>
          <c:spPr>
            <a:solidFill>
              <a:schemeClr val="accent1">
                <a:lumMod val="60000"/>
              </a:schemeClr>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pivot!$H$4:$H$18</c:f>
              <c:numCache>
                <c:formatCode>General</c:formatCode>
                <c:ptCount val="7"/>
                <c:pt idx="0">
                  <c:v>20000</c:v>
                </c:pt>
                <c:pt idx="1">
                  <c:v>8000</c:v>
                </c:pt>
                <c:pt idx="2">
                  <c:v>10000</c:v>
                </c:pt>
                <c:pt idx="3">
                  <c:v>12000</c:v>
                </c:pt>
                <c:pt idx="4">
                  <c:v>19000</c:v>
                </c:pt>
                <c:pt idx="5">
                  <c:v>15000</c:v>
                </c:pt>
                <c:pt idx="6">
                  <c:v>15000</c:v>
                </c:pt>
              </c:numCache>
            </c:numRef>
          </c:val>
        </c:ser>
        <c:ser>
          <c:idx val="7"/>
          <c:order val="7"/>
          <c:tx>
            <c:strRef>
              <c:f>pivot!$I$3</c:f>
              <c:strCache>
                <c:ptCount val="1"/>
                <c:pt idx="0">
                  <c:v>Sum of Tax</c:v>
                </c:pt>
              </c:strCache>
            </c:strRef>
          </c:tx>
          <c:spPr>
            <a:solidFill>
              <a:schemeClr val="accent2">
                <a:lumMod val="60000"/>
              </a:schemeClr>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pivot!$I$4:$I$18</c:f>
              <c:numCache>
                <c:formatCode>General</c:formatCode>
                <c:ptCount val="7"/>
                <c:pt idx="0">
                  <c:v>200</c:v>
                </c:pt>
                <c:pt idx="1">
                  <c:v>80</c:v>
                </c:pt>
                <c:pt idx="2">
                  <c:v>100</c:v>
                </c:pt>
                <c:pt idx="3">
                  <c:v>120</c:v>
                </c:pt>
                <c:pt idx="4">
                  <c:v>190</c:v>
                </c:pt>
                <c:pt idx="5">
                  <c:v>150</c:v>
                </c:pt>
                <c:pt idx="6">
                  <c:v>150</c:v>
                </c:pt>
              </c:numCache>
            </c:numRef>
          </c:val>
        </c:ser>
        <c:ser>
          <c:idx val="8"/>
          <c:order val="8"/>
          <c:tx>
            <c:strRef>
              <c:f>pivot!$J$3</c:f>
              <c:strCache>
                <c:ptCount val="1"/>
                <c:pt idx="0">
                  <c:v>Sum of ESI</c:v>
                </c:pt>
              </c:strCache>
            </c:strRef>
          </c:tx>
          <c:spPr>
            <a:solidFill>
              <a:schemeClr val="accent3">
                <a:lumMod val="60000"/>
              </a:schemeClr>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pivot!$J$4:$J$18</c:f>
              <c:numCache>
                <c:formatCode>General</c:formatCode>
                <c:ptCount val="7"/>
                <c:pt idx="0">
                  <c:v>350</c:v>
                </c:pt>
                <c:pt idx="1">
                  <c:v>140</c:v>
                </c:pt>
                <c:pt idx="2">
                  <c:v>175</c:v>
                </c:pt>
                <c:pt idx="3">
                  <c:v>210</c:v>
                </c:pt>
                <c:pt idx="4">
                  <c:v>332.5</c:v>
                </c:pt>
                <c:pt idx="5">
                  <c:v>262.5</c:v>
                </c:pt>
                <c:pt idx="6">
                  <c:v>262.5</c:v>
                </c:pt>
              </c:numCache>
            </c:numRef>
          </c:val>
        </c:ser>
        <c:ser>
          <c:idx val="9"/>
          <c:order val="9"/>
          <c:tx>
            <c:strRef>
              <c:f>pivot!$K$3</c:f>
              <c:strCache>
                <c:ptCount val="1"/>
                <c:pt idx="0">
                  <c:v>Sum of Ded</c:v>
                </c:pt>
              </c:strCache>
            </c:strRef>
          </c:tx>
          <c:spPr>
            <a:solidFill>
              <a:schemeClr val="accent4">
                <a:lumMod val="60000"/>
              </a:schemeClr>
            </a:solidFill>
            <a:ln>
              <a:noFill/>
            </a:ln>
            <a:effectLst/>
          </c:spPr>
          <c:invertIfNegative val="0"/>
          <c:cat>
            <c:multiLvlStrRef>
              <c:f>pivot!$A$4:$A$18</c:f>
              <c:multiLvlStrCache>
                <c:ptCount val="7"/>
                <c:lvl>
                  <c:pt idx="0">
                    <c:v>Manager</c:v>
                  </c:pt>
                  <c:pt idx="1">
                    <c:v>Offi Assi</c:v>
                  </c:pt>
                  <c:pt idx="2">
                    <c:v>Assi Ma</c:v>
                  </c:pt>
                  <c:pt idx="3">
                    <c:v>Recei</c:v>
                  </c:pt>
                  <c:pt idx="4">
                    <c:v>Manager</c:v>
                  </c:pt>
                  <c:pt idx="5">
                    <c:v>Accountant</c:v>
                  </c:pt>
                  <c:pt idx="6">
                    <c:v>Accountant</c:v>
                  </c:pt>
                </c:lvl>
                <c:lvl>
                  <c:pt idx="0">
                    <c:v>Lalit</c:v>
                  </c:pt>
                  <c:pt idx="1">
                    <c:v>Madhu</c:v>
                  </c:pt>
                  <c:pt idx="2">
                    <c:v>Nayana</c:v>
                  </c:pt>
                  <c:pt idx="3">
                    <c:v>Priya</c:v>
                  </c:pt>
                  <c:pt idx="4">
                    <c:v>Rahul</c:v>
                  </c:pt>
                  <c:pt idx="5">
                    <c:v>Rani</c:v>
                  </c:pt>
                  <c:pt idx="6">
                    <c:v>suma</c:v>
                  </c:pt>
                </c:lvl>
              </c:multiLvlStrCache>
            </c:multiLvlStrRef>
          </c:cat>
          <c:val>
            <c:numRef>
              <c:f>pivot!$K$4:$K$18</c:f>
              <c:numCache>
                <c:formatCode>General</c:formatCode>
                <c:ptCount val="7"/>
                <c:pt idx="0">
                  <c:v>2950</c:v>
                </c:pt>
                <c:pt idx="1">
                  <c:v>1180</c:v>
                </c:pt>
                <c:pt idx="2">
                  <c:v>1475</c:v>
                </c:pt>
                <c:pt idx="3">
                  <c:v>1770</c:v>
                </c:pt>
                <c:pt idx="4">
                  <c:v>2802.5</c:v>
                </c:pt>
                <c:pt idx="5">
                  <c:v>2212.5</c:v>
                </c:pt>
                <c:pt idx="6">
                  <c:v>2212.5</c:v>
                </c:pt>
              </c:numCache>
            </c:numRef>
          </c:val>
        </c:ser>
        <c:dLbls>
          <c:showLegendKey val="0"/>
          <c:showVal val="0"/>
          <c:showCatName val="0"/>
          <c:showSerName val="0"/>
          <c:showPercent val="0"/>
          <c:showBubbleSize val="0"/>
        </c:dLbls>
        <c:gapWidth val="219"/>
        <c:overlap val="-27"/>
        <c:axId val="401855288"/>
        <c:axId val="401855680"/>
      </c:barChart>
      <c:catAx>
        <c:axId val="40185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855680"/>
        <c:crosses val="autoZero"/>
        <c:auto val="1"/>
        <c:lblAlgn val="ctr"/>
        <c:lblOffset val="100"/>
        <c:noMultiLvlLbl val="0"/>
      </c:catAx>
      <c:valAx>
        <c:axId val="40185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855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tx>
            <c:strRef>
              <c:f>EMP!$A$3:$C$3</c:f>
              <c:strCache>
                <c:ptCount val="3"/>
                <c:pt idx="0">
                  <c:v>101</c:v>
                </c:pt>
                <c:pt idx="1">
                  <c:v>Rani</c:v>
                </c:pt>
                <c:pt idx="2">
                  <c:v>Accountant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28575" cap="rnd">
                <a:solidFill>
                  <a:srgbClr val="FF0000"/>
                </a:solidFill>
                <a:prstDash val="solid"/>
                <a:headEnd type="none" w="med" len="med"/>
                <a:tailEnd type="triangle" w="med" len="med"/>
              </a:ln>
              <a:effectLst/>
            </c:spPr>
            <c:trendlineType val="movingAvg"/>
            <c:period val="2"/>
            <c:dispRSqr val="0"/>
            <c:dispEq val="0"/>
          </c:trendline>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EMP!$D$3:$L$3</c:f>
              <c:numCache>
                <c:formatCode>General</c:formatCode>
                <c:ptCount val="9"/>
                <c:pt idx="0">
                  <c:v>15000</c:v>
                </c:pt>
                <c:pt idx="1">
                  <c:v>4800</c:v>
                </c:pt>
                <c:pt idx="2">
                  <c:v>2400</c:v>
                </c:pt>
                <c:pt idx="3">
                  <c:v>22200</c:v>
                </c:pt>
                <c:pt idx="4">
                  <c:v>1800</c:v>
                </c:pt>
                <c:pt idx="5">
                  <c:v>150</c:v>
                </c:pt>
                <c:pt idx="6" formatCode="0">
                  <c:v>262.5</c:v>
                </c:pt>
                <c:pt idx="7" formatCode="0">
                  <c:v>2212.5</c:v>
                </c:pt>
                <c:pt idx="8" formatCode="0">
                  <c:v>19987.5</c:v>
                </c:pt>
              </c:numCache>
            </c:numRef>
          </c:val>
        </c:ser>
        <c:ser>
          <c:idx val="1"/>
          <c:order val="1"/>
          <c:tx>
            <c:strRef>
              <c:f>EMP!$A$4:$C$4</c:f>
              <c:strCache>
                <c:ptCount val="3"/>
                <c:pt idx="0">
                  <c:v>102</c:v>
                </c:pt>
                <c:pt idx="1">
                  <c:v>suma</c:v>
                </c:pt>
                <c:pt idx="2">
                  <c:v>Accountant</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EMP!$D$4:$L$4</c:f>
              <c:numCache>
                <c:formatCode>General</c:formatCode>
                <c:ptCount val="9"/>
                <c:pt idx="0">
                  <c:v>15000</c:v>
                </c:pt>
                <c:pt idx="1">
                  <c:v>4800</c:v>
                </c:pt>
                <c:pt idx="2">
                  <c:v>2400</c:v>
                </c:pt>
                <c:pt idx="3">
                  <c:v>22200</c:v>
                </c:pt>
                <c:pt idx="4">
                  <c:v>1800</c:v>
                </c:pt>
                <c:pt idx="5">
                  <c:v>150</c:v>
                </c:pt>
                <c:pt idx="6" formatCode="0">
                  <c:v>262.5</c:v>
                </c:pt>
                <c:pt idx="7">
                  <c:v>2212.5</c:v>
                </c:pt>
                <c:pt idx="8" formatCode="0">
                  <c:v>19987.5</c:v>
                </c:pt>
              </c:numCache>
            </c:numRef>
          </c:val>
        </c:ser>
        <c:ser>
          <c:idx val="2"/>
          <c:order val="2"/>
          <c:tx>
            <c:strRef>
              <c:f>EMP!$A$5:$C$5</c:f>
              <c:strCache>
                <c:ptCount val="3"/>
                <c:pt idx="0">
                  <c:v>103</c:v>
                </c:pt>
                <c:pt idx="1">
                  <c:v>Nayana</c:v>
                </c:pt>
                <c:pt idx="2">
                  <c:v>Assi Ma</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EMP!$D$5:$L$5</c:f>
              <c:numCache>
                <c:formatCode>General</c:formatCode>
                <c:ptCount val="9"/>
                <c:pt idx="0">
                  <c:v>10000</c:v>
                </c:pt>
                <c:pt idx="1">
                  <c:v>3200</c:v>
                </c:pt>
                <c:pt idx="2">
                  <c:v>1600</c:v>
                </c:pt>
                <c:pt idx="3">
                  <c:v>14800</c:v>
                </c:pt>
                <c:pt idx="4">
                  <c:v>1200</c:v>
                </c:pt>
                <c:pt idx="5">
                  <c:v>100</c:v>
                </c:pt>
                <c:pt idx="6" formatCode="0">
                  <c:v>175</c:v>
                </c:pt>
                <c:pt idx="7">
                  <c:v>1475</c:v>
                </c:pt>
                <c:pt idx="8" formatCode="0">
                  <c:v>13325</c:v>
                </c:pt>
              </c:numCache>
            </c:numRef>
          </c:val>
        </c:ser>
        <c:ser>
          <c:idx val="3"/>
          <c:order val="3"/>
          <c:tx>
            <c:strRef>
              <c:f>EMP!$A$6:$C$6</c:f>
              <c:strCache>
                <c:ptCount val="3"/>
                <c:pt idx="0">
                  <c:v>104</c:v>
                </c:pt>
                <c:pt idx="1">
                  <c:v>Lalit</c:v>
                </c:pt>
                <c:pt idx="2">
                  <c:v>Manager</c:v>
                </c:pt>
              </c:strCache>
            </c:strRef>
          </c:tx>
          <c:spPr>
            <a:gradFill>
              <a:gsLst>
                <a:gs pos="13000">
                  <a:srgbClr val="00B050"/>
                </a:gs>
                <a:gs pos="39000">
                  <a:srgbClr val="FFFF00"/>
                </a:gs>
                <a:gs pos="58000">
                  <a:srgbClr val="FFC000"/>
                </a:gs>
                <a:gs pos="86000">
                  <a:srgbClr val="FF0000"/>
                </a:gs>
                <a:gs pos="100000">
                  <a:srgbClr val="C00000"/>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EMP!$D$6:$L$6</c:f>
              <c:numCache>
                <c:formatCode>General</c:formatCode>
                <c:ptCount val="9"/>
                <c:pt idx="0">
                  <c:v>20000</c:v>
                </c:pt>
                <c:pt idx="1">
                  <c:v>6400</c:v>
                </c:pt>
                <c:pt idx="2">
                  <c:v>3200</c:v>
                </c:pt>
                <c:pt idx="3">
                  <c:v>29600</c:v>
                </c:pt>
                <c:pt idx="4">
                  <c:v>2400</c:v>
                </c:pt>
                <c:pt idx="5">
                  <c:v>200</c:v>
                </c:pt>
                <c:pt idx="6" formatCode="0">
                  <c:v>350</c:v>
                </c:pt>
                <c:pt idx="7">
                  <c:v>2950</c:v>
                </c:pt>
                <c:pt idx="8" formatCode="0">
                  <c:v>26650</c:v>
                </c:pt>
              </c:numCache>
            </c:numRef>
          </c:val>
        </c:ser>
        <c:ser>
          <c:idx val="4"/>
          <c:order val="4"/>
          <c:tx>
            <c:strRef>
              <c:f>EMP!$A$7:$C$7</c:f>
              <c:strCache>
                <c:ptCount val="3"/>
                <c:pt idx="0">
                  <c:v>105</c:v>
                </c:pt>
                <c:pt idx="1">
                  <c:v>Rahul</c:v>
                </c:pt>
                <c:pt idx="2">
                  <c:v>Manager</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EMP!$D$7:$L$7</c:f>
              <c:numCache>
                <c:formatCode>General</c:formatCode>
                <c:ptCount val="9"/>
                <c:pt idx="0">
                  <c:v>19000</c:v>
                </c:pt>
                <c:pt idx="1">
                  <c:v>6080</c:v>
                </c:pt>
                <c:pt idx="2">
                  <c:v>3040</c:v>
                </c:pt>
                <c:pt idx="3">
                  <c:v>28120</c:v>
                </c:pt>
                <c:pt idx="4">
                  <c:v>2280</c:v>
                </c:pt>
                <c:pt idx="5">
                  <c:v>190</c:v>
                </c:pt>
                <c:pt idx="6" formatCode="0">
                  <c:v>332.5</c:v>
                </c:pt>
                <c:pt idx="7">
                  <c:v>2802.5</c:v>
                </c:pt>
                <c:pt idx="8" formatCode="0">
                  <c:v>25317.5</c:v>
                </c:pt>
              </c:numCache>
            </c:numRef>
          </c:val>
        </c:ser>
        <c:ser>
          <c:idx val="5"/>
          <c:order val="5"/>
          <c:tx>
            <c:strRef>
              <c:f>EMP!$A$8:$C$8</c:f>
              <c:strCache>
                <c:ptCount val="3"/>
                <c:pt idx="0">
                  <c:v>106</c:v>
                </c:pt>
                <c:pt idx="1">
                  <c:v>Madhu</c:v>
                </c:pt>
                <c:pt idx="2">
                  <c:v>Offi Assi</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EMP!$D$8:$L$8</c:f>
              <c:numCache>
                <c:formatCode>General</c:formatCode>
                <c:ptCount val="9"/>
                <c:pt idx="0">
                  <c:v>9005.6285178236394</c:v>
                </c:pt>
                <c:pt idx="1">
                  <c:v>2881.8011257035646</c:v>
                </c:pt>
                <c:pt idx="2">
                  <c:v>1440.9005628517823</c:v>
                </c:pt>
                <c:pt idx="3">
                  <c:v>13328.330206378987</c:v>
                </c:pt>
                <c:pt idx="4">
                  <c:v>1080.6754221388367</c:v>
                </c:pt>
                <c:pt idx="5">
                  <c:v>90.056285178236394</c:v>
                </c:pt>
                <c:pt idx="6" formatCode="0">
                  <c:v>157.59849906191369</c:v>
                </c:pt>
                <c:pt idx="7">
                  <c:v>1328.3302063789865</c:v>
                </c:pt>
                <c:pt idx="8" formatCode="0">
                  <c:v>12000</c:v>
                </c:pt>
              </c:numCache>
            </c:numRef>
          </c:val>
        </c:ser>
        <c:ser>
          <c:idx val="6"/>
          <c:order val="6"/>
          <c:tx>
            <c:strRef>
              <c:f>EMP!$A$9:$C$9</c:f>
              <c:strCache>
                <c:ptCount val="3"/>
                <c:pt idx="0">
                  <c:v>107</c:v>
                </c:pt>
                <c:pt idx="1">
                  <c:v>Priya</c:v>
                </c:pt>
                <c:pt idx="2">
                  <c:v>Recei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EMP!$D$1:$L$2</c:f>
              <c:strCache>
                <c:ptCount val="9"/>
                <c:pt idx="0">
                  <c:v>Basic</c:v>
                </c:pt>
                <c:pt idx="1">
                  <c:v>Hra</c:v>
                </c:pt>
                <c:pt idx="2">
                  <c:v>Da</c:v>
                </c:pt>
                <c:pt idx="3">
                  <c:v>Gross</c:v>
                </c:pt>
                <c:pt idx="4">
                  <c:v>Pf</c:v>
                </c:pt>
                <c:pt idx="5">
                  <c:v>Tax</c:v>
                </c:pt>
                <c:pt idx="6">
                  <c:v>ESI</c:v>
                </c:pt>
                <c:pt idx="7">
                  <c:v>Ded</c:v>
                </c:pt>
                <c:pt idx="8">
                  <c:v>Net</c:v>
                </c:pt>
              </c:strCache>
            </c:strRef>
          </c:cat>
          <c:val>
            <c:numRef>
              <c:f>EMP!$D$9:$L$9</c:f>
              <c:numCache>
                <c:formatCode>General</c:formatCode>
                <c:ptCount val="9"/>
                <c:pt idx="0">
                  <c:v>12000</c:v>
                </c:pt>
                <c:pt idx="1">
                  <c:v>3840</c:v>
                </c:pt>
                <c:pt idx="2">
                  <c:v>1920</c:v>
                </c:pt>
                <c:pt idx="3">
                  <c:v>17760</c:v>
                </c:pt>
                <c:pt idx="4">
                  <c:v>1440</c:v>
                </c:pt>
                <c:pt idx="5">
                  <c:v>120</c:v>
                </c:pt>
                <c:pt idx="6" formatCode="0">
                  <c:v>210</c:v>
                </c:pt>
                <c:pt idx="7">
                  <c:v>1770</c:v>
                </c:pt>
                <c:pt idx="8" formatCode="0">
                  <c:v>15990</c:v>
                </c:pt>
              </c:numCache>
            </c:numRef>
          </c:val>
        </c:ser>
        <c:dLbls>
          <c:dLblPos val="outEnd"/>
          <c:showLegendKey val="0"/>
          <c:showVal val="1"/>
          <c:showCatName val="0"/>
          <c:showSerName val="0"/>
          <c:showPercent val="0"/>
          <c:showBubbleSize val="0"/>
        </c:dLbls>
        <c:gapWidth val="219"/>
        <c:overlap val="-27"/>
        <c:axId val="470770336"/>
        <c:axId val="470767592"/>
      </c:barChart>
      <c:catAx>
        <c:axId val="47077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470767592"/>
        <c:crosses val="autoZero"/>
        <c:auto val="1"/>
        <c:lblAlgn val="ctr"/>
        <c:lblOffset val="100"/>
        <c:noMultiLvlLbl val="0"/>
      </c:catAx>
      <c:valAx>
        <c:axId val="4707675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accent1">
                  <a:lumMod val="75000"/>
                </a:schemeClr>
              </a:solidFill>
              <a:round/>
            </a:ln>
            <a:effectLst/>
          </c:spPr>
        </c:minorGridlines>
        <c:title>
          <c:overlay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6350" cap="flat" cmpd="sng" algn="ctr">
              <a:solidFill>
                <a:schemeClr val="accent5"/>
              </a:solidFill>
              <a:prstDash val="solid"/>
              <a:miter lim="800000"/>
            </a:ln>
            <a:effectLst/>
          </c:spPr>
          <c:txPr>
            <a:bodyPr rot="-54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470770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Table>
      <c:spPr>
        <a:noFill/>
        <a:ln>
          <a:noFill/>
        </a:ln>
        <a:effectLst/>
      </c:spPr>
    </c:plotArea>
    <c:legend>
      <c:legendPos val="t"/>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chart>
  <c:spPr>
    <a:blipFill dpi="0" rotWithShape="1">
      <a:blip xmlns:r="http://schemas.openxmlformats.org/officeDocument/2006/relationships" r:embed="rId3">
        <a:extLst>
          <a:ext uri="{28A0092B-C50C-407E-A947-70E740481C1C}">
            <a14:useLocalDpi xmlns:a14="http://schemas.microsoft.com/office/drawing/2010/main" val="0"/>
          </a:ext>
        </a:extLst>
      </a:blip>
      <a:srcRect/>
      <a:stretch>
        <a:fillRect/>
      </a:stretch>
    </a:blip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93" workbookViewId="0" zoomToFit="1"/>
  </sheetViews>
  <customSheetViews>
    <customSheetView guid="{159720CD-1700-4E26-B733-9FDE983FE022}" scale="93" zoomToFit="1">
      <pageMargins left="0.7" right="0.7" top="0.75" bottom="0.75" header="0.3" footer="0.3"/>
    </customSheetView>
  </custom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93" workbookViewId="0" zoomToFit="1"/>
  </sheetViews>
  <customSheetViews>
    <customSheetView guid="{159720CD-1700-4E26-B733-9FDE983FE022}" scale="93" zoomToFit="1">
      <pageMargins left="0.7" right="0.7" top="0.75" bottom="0.75" header="0.3" footer="0.3"/>
    </customSheetView>
  </custom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83290" cy="605503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xdr:col>
      <xdr:colOff>624840</xdr:colOff>
      <xdr:row>7</xdr:row>
      <xdr:rowOff>125730</xdr:rowOff>
    </xdr:from>
    <xdr:to>
      <xdr:col>8</xdr:col>
      <xdr:colOff>259080</xdr:colOff>
      <xdr:row>22</xdr:row>
      <xdr:rowOff>125730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281940</xdr:colOff>
      <xdr:row>2</xdr:row>
      <xdr:rowOff>167640</xdr:rowOff>
    </xdr:from>
    <xdr:to>
      <xdr:col>16</xdr:col>
      <xdr:colOff>281940</xdr:colOff>
      <xdr:row>16</xdr:row>
      <xdr:rowOff>74295</xdr:rowOff>
    </xdr:to>
    <mc:AlternateContent xmlns:mc="http://schemas.openxmlformats.org/markup-compatibility/2006" xmlns:a14="http://schemas.microsoft.com/office/drawing/2010/main">
      <mc:Choice Requires="a14">
        <xdr:graphicFrame macro="">
          <xdr:nvGraphicFramePr>
            <xdr:cNvPr id="3" name="E Name"/>
            <xdr:cNvGraphicFramePr/>
          </xdr:nvGraphicFramePr>
          <xdr:xfrm>
            <a:off x="0" y="0"/>
            <a:ext cx="0" cy="0"/>
          </xdr:xfrm>
          <a:graphic>
            <a:graphicData uri="http://schemas.microsoft.com/office/drawing/2010/slicer">
              <sle:slicer xmlns:sle="http://schemas.microsoft.com/office/drawing/2010/slicer" name="E Name"/>
            </a:graphicData>
          </a:graphic>
        </xdr:graphicFrame>
      </mc:Choice>
      <mc:Fallback xmlns="">
        <xdr:sp macro="" textlink="">
          <xdr:nvSpPr>
            <xdr:cNvPr id="0" name=""/>
            <xdr:cNvSpPr>
              <a:spLocks noTextEdit="1"/>
            </xdr:cNvSpPr>
          </xdr:nvSpPr>
          <xdr:spPr>
            <a:xfrm>
              <a:off x="9875520" y="533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absoluteAnchor>
    <xdr:pos x="0" y="0"/>
    <xdr:ext cx="9283290" cy="605503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eonics" refreshedDate="43794.357498148151" createdVersion="5" refreshedVersion="5" minRefreshableVersion="3" recordCount="7">
  <cacheSource type="worksheet">
    <worksheetSource ref="A2:L9" sheet="EMP"/>
  </cacheSource>
  <cacheFields count="12">
    <cacheField name="E Code" numFmtId="0">
      <sharedItems containsSemiMixedTypes="0" containsString="0" containsNumber="1" containsInteger="1" minValue="101" maxValue="107"/>
    </cacheField>
    <cacheField name="E Name" numFmtId="0">
      <sharedItems count="7">
        <s v="Rani"/>
        <s v="suma"/>
        <s v="Nayana"/>
        <s v="Lalit"/>
        <s v="Rahul"/>
        <s v="Madhu"/>
        <s v="Priya"/>
      </sharedItems>
    </cacheField>
    <cacheField name="Design" numFmtId="0">
      <sharedItems count="5">
        <s v="Accountant"/>
        <s v="Assi Ma"/>
        <s v="Manager"/>
        <s v="Offi Assi"/>
        <s v="Recei"/>
      </sharedItems>
    </cacheField>
    <cacheField name="Basic" numFmtId="0">
      <sharedItems containsSemiMixedTypes="0" containsString="0" containsNumber="1" containsInteger="1" minValue="8000" maxValue="20000"/>
    </cacheField>
    <cacheField name="Hra" numFmtId="0">
      <sharedItems containsSemiMixedTypes="0" containsString="0" containsNumber="1" containsInteger="1" minValue="2560" maxValue="6400"/>
    </cacheField>
    <cacheField name="Da" numFmtId="0">
      <sharedItems containsSemiMixedTypes="0" containsString="0" containsNumber="1" containsInteger="1" minValue="1280" maxValue="3200"/>
    </cacheField>
    <cacheField name="Gross" numFmtId="0">
      <sharedItems containsSemiMixedTypes="0" containsString="0" containsNumber="1" containsInteger="1" minValue="11840" maxValue="29600"/>
    </cacheField>
    <cacheField name="Pf" numFmtId="0">
      <sharedItems containsSemiMixedTypes="0" containsString="0" containsNumber="1" containsInteger="1" minValue="960" maxValue="2400"/>
    </cacheField>
    <cacheField name="Tax" numFmtId="0">
      <sharedItems containsSemiMixedTypes="0" containsString="0" containsNumber="1" containsInteger="1" minValue="80" maxValue="200"/>
    </cacheField>
    <cacheField name="ESI" numFmtId="1">
      <sharedItems containsSemiMixedTypes="0" containsString="0" containsNumber="1" minValue="140" maxValue="350"/>
    </cacheField>
    <cacheField name="Ded" numFmtId="0">
      <sharedItems containsSemiMixedTypes="0" containsString="0" containsNumber="1" minValue="1180" maxValue="2950"/>
    </cacheField>
    <cacheField name="Net" numFmtId="1">
      <sharedItems containsSemiMixedTypes="0" containsString="0" containsNumber="1" minValue="10660" maxValue="2665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
  <r>
    <n v="101"/>
    <x v="0"/>
    <x v="0"/>
    <n v="15000"/>
    <n v="4800"/>
    <n v="2400"/>
    <n v="22200"/>
    <n v="1800"/>
    <n v="150"/>
    <n v="262.5"/>
    <n v="2212.5"/>
    <n v="19987.5"/>
  </r>
  <r>
    <n v="102"/>
    <x v="1"/>
    <x v="0"/>
    <n v="15000"/>
    <n v="4800"/>
    <n v="2400"/>
    <n v="22200"/>
    <n v="1800"/>
    <n v="150"/>
    <n v="262.5"/>
    <n v="2212.5"/>
    <n v="19987.5"/>
  </r>
  <r>
    <n v="103"/>
    <x v="2"/>
    <x v="1"/>
    <n v="10000"/>
    <n v="3200"/>
    <n v="1600"/>
    <n v="14800"/>
    <n v="1200"/>
    <n v="100"/>
    <n v="175"/>
    <n v="1475"/>
    <n v="13325"/>
  </r>
  <r>
    <n v="104"/>
    <x v="3"/>
    <x v="2"/>
    <n v="20000"/>
    <n v="6400"/>
    <n v="3200"/>
    <n v="29600"/>
    <n v="2400"/>
    <n v="200"/>
    <n v="350"/>
    <n v="2950"/>
    <n v="26650"/>
  </r>
  <r>
    <n v="105"/>
    <x v="4"/>
    <x v="2"/>
    <n v="19000"/>
    <n v="6080"/>
    <n v="3040"/>
    <n v="28120"/>
    <n v="2280"/>
    <n v="190"/>
    <n v="332.5"/>
    <n v="2802.5"/>
    <n v="25317.5"/>
  </r>
  <r>
    <n v="106"/>
    <x v="5"/>
    <x v="3"/>
    <n v="8000"/>
    <n v="2560"/>
    <n v="1280"/>
    <n v="11840"/>
    <n v="960"/>
    <n v="80"/>
    <n v="140"/>
    <n v="1180"/>
    <n v="10660"/>
  </r>
  <r>
    <n v="107"/>
    <x v="6"/>
    <x v="4"/>
    <n v="12000"/>
    <n v="3840"/>
    <n v="1920"/>
    <n v="17760"/>
    <n v="1440"/>
    <n v="120"/>
    <n v="210"/>
    <n v="1770"/>
    <n v="159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K18" firstHeaderRow="0" firstDataRow="1" firstDataCol="1"/>
  <pivotFields count="12">
    <pivotField dataField="1" showAll="0"/>
    <pivotField axis="axisRow" showAll="0">
      <items count="8">
        <item x="3"/>
        <item x="5"/>
        <item x="2"/>
        <item x="6"/>
        <item x="4"/>
        <item x="0"/>
        <item x="1"/>
        <item t="default"/>
      </items>
    </pivotField>
    <pivotField axis="axisRow" showAll="0">
      <items count="6">
        <item x="0"/>
        <item x="1"/>
        <item x="2"/>
        <item x="3"/>
        <item x="4"/>
        <item t="default"/>
      </items>
    </pivotField>
    <pivotField dataField="1" showAll="0"/>
    <pivotField dataField="1" showAll="0"/>
    <pivotField dataField="1" showAll="0"/>
    <pivotField dataField="1" showAll="0"/>
    <pivotField dataField="1" showAll="0"/>
    <pivotField dataField="1" showAll="0"/>
    <pivotField dataField="1" numFmtId="1" showAll="0"/>
    <pivotField dataField="1" showAll="0"/>
    <pivotField dataField="1" numFmtId="1" showAll="0"/>
  </pivotFields>
  <rowFields count="2">
    <field x="1"/>
    <field x="2"/>
  </rowFields>
  <rowItems count="15">
    <i>
      <x/>
    </i>
    <i r="1">
      <x v="2"/>
    </i>
    <i>
      <x v="1"/>
    </i>
    <i r="1">
      <x v="3"/>
    </i>
    <i>
      <x v="2"/>
    </i>
    <i r="1">
      <x v="1"/>
    </i>
    <i>
      <x v="3"/>
    </i>
    <i r="1">
      <x v="4"/>
    </i>
    <i>
      <x v="4"/>
    </i>
    <i r="1">
      <x v="2"/>
    </i>
    <i>
      <x v="5"/>
    </i>
    <i r="1">
      <x/>
    </i>
    <i>
      <x v="6"/>
    </i>
    <i r="1">
      <x/>
    </i>
    <i t="grand">
      <x/>
    </i>
  </rowItems>
  <colFields count="1">
    <field x="-2"/>
  </colFields>
  <colItems count="10">
    <i>
      <x/>
    </i>
    <i i="1">
      <x v="1"/>
    </i>
    <i i="2">
      <x v="2"/>
    </i>
    <i i="3">
      <x v="3"/>
    </i>
    <i i="4">
      <x v="4"/>
    </i>
    <i i="5">
      <x v="5"/>
    </i>
    <i i="6">
      <x v="6"/>
    </i>
    <i i="7">
      <x v="7"/>
    </i>
    <i i="8">
      <x v="8"/>
    </i>
    <i i="9">
      <x v="9"/>
    </i>
  </colItems>
  <dataFields count="10">
    <dataField name="Sum of E Code" fld="0" baseField="0" baseItem="0"/>
    <dataField name="Sum of Hra" fld="4" baseField="0" baseItem="0"/>
    <dataField name="Sum of Da" fld="5" baseField="0" baseItem="0"/>
    <dataField name="Sum of Gross" fld="6" baseField="0" baseItem="0"/>
    <dataField name="Sum of Pf" fld="7" baseField="0" baseItem="0"/>
    <dataField name="Sum of Net" fld="11" baseField="0" baseItem="0"/>
    <dataField name="Sum of Basic" fld="3" baseField="0" baseItem="0"/>
    <dataField name="Sum of Tax" fld="8" baseField="0" baseItem="0"/>
    <dataField name="Sum of ESI" fld="9" baseField="0" baseItem="0"/>
    <dataField name="Sum of Ded" fld="10" baseField="0" baseItem="0"/>
  </dataFields>
  <chartFormats count="10">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0" format="5" series="1">
      <pivotArea type="data" outline="0" fieldPosition="0">
        <references count="1">
          <reference field="4294967294" count="1" selected="0">
            <x v="4"/>
          </reference>
        </references>
      </pivotArea>
    </chartFormat>
    <chartFormat chart="0" format="9" series="1">
      <pivotArea type="data" outline="0" fieldPosition="0">
        <references count="1">
          <reference field="4294967294" count="1" selected="0">
            <x v="5"/>
          </reference>
        </references>
      </pivotArea>
    </chartFormat>
    <chartFormat chart="0" format="10" series="1">
      <pivotArea type="data" outline="0" fieldPosition="0">
        <references count="1">
          <reference field="4294967294" count="1" selected="0">
            <x v="6"/>
          </reference>
        </references>
      </pivotArea>
    </chartFormat>
    <chartFormat chart="0" format="11" series="1">
      <pivotArea type="data" outline="0" fieldPosition="0">
        <references count="1">
          <reference field="4294967294" count="1" selected="0">
            <x v="7"/>
          </reference>
        </references>
      </pivotArea>
    </chartFormat>
    <chartFormat chart="0" format="12" series="1">
      <pivotArea type="data" outline="0" fieldPosition="0">
        <references count="1">
          <reference field="4294967294" count="1" selected="0">
            <x v="8"/>
          </reference>
        </references>
      </pivotArea>
    </chartFormat>
    <chartFormat chart="0" format="13" series="1">
      <pivotArea type="data" outline="0" fieldPosition="0">
        <references count="1">
          <reference field="429496729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175E90D-C978-4014-9836-1BEA913F9D5C}">
  <header guid="{7175E90D-C978-4014-9836-1BEA913F9D5C}" dateTime="2019-12-03T17:23:54" maxSheetId="13" userName="Keonics" r:id="rId1">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_Name" sourceName="E Name">
  <pivotTables>
    <pivotTable tabId="6" name="PivotTable1"/>
  </pivotTables>
  <data>
    <tabular pivotCacheId="1">
      <items count="7">
        <i x="3" s="1"/>
        <i x="5" s="1"/>
        <i x="2" s="1"/>
        <i x="6"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 Name" cache="Slicer_E_Name" caption="E 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zoomScale="150" zoomScaleNormal="150" workbookViewId="0">
      <selection activeCell="E10" sqref="E10"/>
    </sheetView>
  </sheetViews>
  <sheetFormatPr defaultRowHeight="14.4" x14ac:dyDescent="0.3"/>
  <cols>
    <col min="1" max="1" width="18.44140625" customWidth="1"/>
    <col min="2" max="2" width="14.77734375" customWidth="1"/>
    <col min="4" max="4" width="16.44140625" customWidth="1"/>
    <col min="5" max="5" width="12.77734375" customWidth="1"/>
    <col min="16" max="16" width="10.33203125" bestFit="1" customWidth="1"/>
    <col min="18" max="18" width="10.33203125" bestFit="1" customWidth="1"/>
    <col min="20" max="20" width="10.33203125" bestFit="1" customWidth="1"/>
  </cols>
  <sheetData>
    <row r="1" spans="1:20" x14ac:dyDescent="0.3">
      <c r="A1" s="41" t="s">
        <v>6</v>
      </c>
      <c r="B1" s="41"/>
      <c r="D1" s="41" t="s">
        <v>7</v>
      </c>
      <c r="E1" s="41"/>
    </row>
    <row r="2" spans="1:20" x14ac:dyDescent="0.3">
      <c r="A2" s="2" t="s">
        <v>0</v>
      </c>
      <c r="B2" s="2">
        <v>10</v>
      </c>
      <c r="D2" s="2" t="s">
        <v>0</v>
      </c>
      <c r="E2" s="2">
        <v>10</v>
      </c>
    </row>
    <row r="3" spans="1:20" x14ac:dyDescent="0.3">
      <c r="A3" s="2" t="s">
        <v>1</v>
      </c>
      <c r="B3" s="2">
        <v>5</v>
      </c>
      <c r="D3" s="2" t="s">
        <v>1</v>
      </c>
      <c r="E3" s="2">
        <v>5</v>
      </c>
    </row>
    <row r="4" spans="1:20" x14ac:dyDescent="0.3">
      <c r="A4" s="2" t="s">
        <v>2</v>
      </c>
      <c r="B4" s="2">
        <f>+B2+B3</f>
        <v>15</v>
      </c>
      <c r="D4" s="2" t="s">
        <v>2</v>
      </c>
      <c r="E4" s="2">
        <f>SUM(E2:E3)</f>
        <v>15</v>
      </c>
    </row>
    <row r="5" spans="1:20" x14ac:dyDescent="0.3">
      <c r="A5" s="2" t="s">
        <v>3</v>
      </c>
      <c r="B5" s="2">
        <f>B2-B3</f>
        <v>5</v>
      </c>
      <c r="D5" s="2" t="s">
        <v>2</v>
      </c>
      <c r="E5" s="2">
        <f>E2+E3</f>
        <v>15</v>
      </c>
    </row>
    <row r="6" spans="1:20" x14ac:dyDescent="0.3">
      <c r="A6" s="2" t="s">
        <v>4</v>
      </c>
      <c r="B6" s="2">
        <f>B2*B3</f>
        <v>50</v>
      </c>
      <c r="D6" s="2" t="s">
        <v>2</v>
      </c>
      <c r="E6" s="2">
        <f>SUM(E2:E3)</f>
        <v>15</v>
      </c>
      <c r="P6" s="1"/>
      <c r="T6" s="1"/>
    </row>
    <row r="7" spans="1:20" x14ac:dyDescent="0.3">
      <c r="A7" s="2" t="s">
        <v>5</v>
      </c>
      <c r="B7" s="2">
        <f>B2/B3</f>
        <v>2</v>
      </c>
      <c r="P7" s="1"/>
    </row>
    <row r="8" spans="1:20" x14ac:dyDescent="0.3">
      <c r="P8" s="1"/>
      <c r="R8" s="1"/>
    </row>
    <row r="9" spans="1:20" x14ac:dyDescent="0.3">
      <c r="P9" s="1"/>
      <c r="R9" s="1"/>
      <c r="T9" s="1"/>
    </row>
    <row r="10" spans="1:20" x14ac:dyDescent="0.3">
      <c r="P10" s="1"/>
      <c r="R10" s="1"/>
    </row>
    <row r="11" spans="1:20" x14ac:dyDescent="0.3">
      <c r="P11" s="1"/>
      <c r="R11" s="1"/>
    </row>
    <row r="12" spans="1:20" x14ac:dyDescent="0.3">
      <c r="P12" s="1"/>
      <c r="R12" s="1"/>
      <c r="T12" s="1"/>
    </row>
    <row r="13" spans="1:20" x14ac:dyDescent="0.3">
      <c r="P13" s="1"/>
      <c r="R13" s="1"/>
    </row>
    <row r="14" spans="1:20" x14ac:dyDescent="0.3">
      <c r="P14" s="1"/>
      <c r="R14" s="1"/>
    </row>
    <row r="15" spans="1:20" x14ac:dyDescent="0.3">
      <c r="P15" s="1"/>
      <c r="R15" s="1"/>
      <c r="T15" s="1"/>
    </row>
    <row r="16" spans="1:20" x14ac:dyDescent="0.3">
      <c r="P16" s="1"/>
      <c r="R16" s="1"/>
    </row>
    <row r="17" spans="16:20" x14ac:dyDescent="0.3">
      <c r="P17" s="1"/>
      <c r="R17" s="1"/>
    </row>
    <row r="18" spans="16:20" x14ac:dyDescent="0.3">
      <c r="P18" s="1"/>
      <c r="R18" s="1"/>
      <c r="T18" s="1"/>
    </row>
    <row r="19" spans="16:20" x14ac:dyDescent="0.3">
      <c r="P19" s="1"/>
      <c r="R19" s="1"/>
    </row>
    <row r="20" spans="16:20" x14ac:dyDescent="0.3">
      <c r="P20" s="1"/>
      <c r="R20" s="1"/>
    </row>
    <row r="21" spans="16:20" x14ac:dyDescent="0.3">
      <c r="P21" s="1"/>
      <c r="R21" s="1"/>
      <c r="T21" s="1"/>
    </row>
    <row r="22" spans="16:20" x14ac:dyDescent="0.3">
      <c r="P22" s="1"/>
      <c r="R22" s="1"/>
    </row>
    <row r="23" spans="16:20" x14ac:dyDescent="0.3">
      <c r="P23" s="1"/>
      <c r="R23" s="1"/>
    </row>
    <row r="24" spans="16:20" x14ac:dyDescent="0.3">
      <c r="P24" s="1"/>
      <c r="R24" s="1"/>
      <c r="T24" s="1"/>
    </row>
    <row r="25" spans="16:20" x14ac:dyDescent="0.3">
      <c r="P25" s="1"/>
      <c r="R25" s="1"/>
    </row>
    <row r="26" spans="16:20" x14ac:dyDescent="0.3">
      <c r="P26" s="1"/>
      <c r="R26" s="1"/>
    </row>
    <row r="27" spans="16:20" x14ac:dyDescent="0.3">
      <c r="P27" s="1"/>
      <c r="R27" s="1"/>
      <c r="T27" s="1"/>
    </row>
    <row r="28" spans="16:20" x14ac:dyDescent="0.3">
      <c r="P28" s="1"/>
    </row>
    <row r="29" spans="16:20" x14ac:dyDescent="0.3">
      <c r="P29" s="1"/>
    </row>
    <row r="30" spans="16:20" x14ac:dyDescent="0.3">
      <c r="P30" s="1"/>
      <c r="T30" s="1"/>
    </row>
    <row r="31" spans="16:20" x14ac:dyDescent="0.3">
      <c r="P31" s="1"/>
    </row>
    <row r="33" spans="20:20" x14ac:dyDescent="0.3">
      <c r="T33" s="1"/>
    </row>
  </sheetData>
  <customSheetViews>
    <customSheetView guid="{159720CD-1700-4E26-B733-9FDE983FE022}" scale="150">
      <selection activeCell="E10" sqref="E10"/>
      <pageMargins left="0.7" right="0.7" top="0.75" bottom="0.75" header="0.3" footer="0.3"/>
      <pageSetup paperSize="9" orientation="portrait" r:id="rId1"/>
    </customSheetView>
  </customSheetViews>
  <mergeCells count="2">
    <mergeCell ref="A1:B1"/>
    <mergeCell ref="D1:E1"/>
  </mergeCell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170" zoomScaleNormal="170" workbookViewId="0">
      <selection sqref="A1:XFD1048576"/>
    </sheetView>
  </sheetViews>
  <sheetFormatPr defaultRowHeight="14.4" x14ac:dyDescent="0.3"/>
  <cols>
    <col min="1" max="1" width="19.88671875" customWidth="1"/>
    <col min="4" max="4" width="15.88671875" customWidth="1"/>
    <col min="7" max="7" width="15.33203125" customWidth="1"/>
    <col min="8" max="8" width="11.6640625" customWidth="1"/>
  </cols>
  <sheetData>
    <row r="1" spans="1:9" ht="21" x14ac:dyDescent="0.3">
      <c r="A1" s="42" t="s">
        <v>8</v>
      </c>
      <c r="B1" s="42"/>
      <c r="D1" s="42" t="s">
        <v>9</v>
      </c>
      <c r="E1" s="42"/>
      <c r="G1" s="42" t="s">
        <v>10</v>
      </c>
      <c r="H1" s="42"/>
    </row>
    <row r="2" spans="1:9" x14ac:dyDescent="0.3">
      <c r="A2" s="2" t="s">
        <v>11</v>
      </c>
      <c r="B2" s="2">
        <v>9600</v>
      </c>
      <c r="D2" s="2" t="s">
        <v>12</v>
      </c>
      <c r="E2" s="2">
        <v>1234</v>
      </c>
      <c r="G2" s="2" t="s">
        <v>13</v>
      </c>
      <c r="H2" s="2">
        <v>1234</v>
      </c>
    </row>
    <row r="3" spans="1:9" x14ac:dyDescent="0.3">
      <c r="A3" s="2" t="s">
        <v>14</v>
      </c>
      <c r="B3" s="2">
        <v>4</v>
      </c>
      <c r="D3" s="2" t="s">
        <v>15</v>
      </c>
      <c r="E3" s="2">
        <v>4523</v>
      </c>
      <c r="G3" s="2" t="s">
        <v>16</v>
      </c>
      <c r="H3" s="2">
        <v>4523</v>
      </c>
    </row>
    <row r="4" spans="1:9" x14ac:dyDescent="0.3">
      <c r="A4" s="2" t="s">
        <v>17</v>
      </c>
      <c r="B4" s="2">
        <v>8.5</v>
      </c>
      <c r="D4" s="2" t="s">
        <v>18</v>
      </c>
      <c r="E4" s="2">
        <v>4228</v>
      </c>
      <c r="G4" s="2" t="s">
        <v>19</v>
      </c>
      <c r="H4" s="2">
        <v>100</v>
      </c>
    </row>
    <row r="5" spans="1:9" x14ac:dyDescent="0.3">
      <c r="A5" s="2" t="s">
        <v>20</v>
      </c>
      <c r="B5" s="2">
        <f>B2*B3*B4/100</f>
        <v>3264</v>
      </c>
      <c r="D5" s="2" t="s">
        <v>21</v>
      </c>
      <c r="E5" s="2">
        <f>E3-E4</f>
        <v>295</v>
      </c>
      <c r="G5" s="2" t="s">
        <v>22</v>
      </c>
      <c r="H5" s="2">
        <v>0.1</v>
      </c>
    </row>
    <row r="6" spans="1:9" x14ac:dyDescent="0.3">
      <c r="D6" s="3" t="s">
        <v>23</v>
      </c>
      <c r="E6" s="4">
        <v>2.5</v>
      </c>
      <c r="G6" s="3" t="s">
        <v>24</v>
      </c>
      <c r="H6" s="2">
        <f>H3-H4</f>
        <v>4423</v>
      </c>
      <c r="I6" t="s">
        <v>25</v>
      </c>
    </row>
    <row r="7" spans="1:9" ht="21" x14ac:dyDescent="0.3">
      <c r="A7" s="42" t="s">
        <v>26</v>
      </c>
      <c r="B7" s="42"/>
      <c r="D7" s="3" t="s">
        <v>27</v>
      </c>
      <c r="E7" s="2">
        <f>E5*E6</f>
        <v>737.5</v>
      </c>
      <c r="G7" s="3" t="s">
        <v>27</v>
      </c>
      <c r="H7" s="2">
        <f>H5*H6</f>
        <v>442.3</v>
      </c>
      <c r="I7" t="s">
        <v>28</v>
      </c>
    </row>
    <row r="8" spans="1:9" x14ac:dyDescent="0.3">
      <c r="A8" s="2" t="s">
        <v>12</v>
      </c>
      <c r="B8" s="2">
        <v>1234</v>
      </c>
    </row>
    <row r="9" spans="1:9" x14ac:dyDescent="0.3">
      <c r="A9" s="2" t="s">
        <v>15</v>
      </c>
      <c r="B9" s="2">
        <v>4523</v>
      </c>
    </row>
    <row r="10" spans="1:9" x14ac:dyDescent="0.3">
      <c r="A10" s="2" t="s">
        <v>18</v>
      </c>
      <c r="B10" s="2">
        <v>4228</v>
      </c>
    </row>
    <row r="11" spans="1:9" x14ac:dyDescent="0.3">
      <c r="A11" s="2" t="s">
        <v>21</v>
      </c>
      <c r="B11" s="2">
        <f>B9-B10</f>
        <v>295</v>
      </c>
    </row>
    <row r="12" spans="1:9" x14ac:dyDescent="0.3">
      <c r="A12" s="3" t="s">
        <v>23</v>
      </c>
      <c r="B12" s="2">
        <v>0.5</v>
      </c>
    </row>
    <row r="13" spans="1:9" x14ac:dyDescent="0.3">
      <c r="A13" s="3" t="s">
        <v>27</v>
      </c>
      <c r="B13" s="2">
        <f>B11*B12</f>
        <v>147.5</v>
      </c>
    </row>
  </sheetData>
  <customSheetViews>
    <customSheetView guid="{159720CD-1700-4E26-B733-9FDE983FE022}" scale="170">
      <selection activeCell="C14" sqref="C14"/>
      <pageMargins left="0.7" right="0.7" top="0.75" bottom="0.75" header="0.3" footer="0.3"/>
    </customSheetView>
  </customSheetViews>
  <mergeCells count="4">
    <mergeCell ref="A1:B1"/>
    <mergeCell ref="D1:E1"/>
    <mergeCell ref="G1:H1"/>
    <mergeCell ref="A7: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zoomScale="120" zoomScaleNormal="120" workbookViewId="0">
      <selection activeCell="N10" sqref="N10:O15"/>
    </sheetView>
  </sheetViews>
  <sheetFormatPr defaultRowHeight="14.4" x14ac:dyDescent="0.3"/>
  <cols>
    <col min="3" max="3" width="13.88671875" bestFit="1" customWidth="1"/>
    <col min="6" max="6" width="13.6640625" bestFit="1" customWidth="1"/>
    <col min="8" max="8" width="9.5546875" bestFit="1" customWidth="1"/>
    <col min="9" max="9" width="9.44140625" bestFit="1" customWidth="1"/>
    <col min="10" max="10" width="13.88671875" bestFit="1" customWidth="1"/>
    <col min="13" max="13" width="13.88671875" bestFit="1" customWidth="1"/>
  </cols>
  <sheetData>
    <row r="1" spans="1:15" ht="23.4" x14ac:dyDescent="0.45">
      <c r="A1" s="43" t="s">
        <v>29</v>
      </c>
      <c r="B1" s="43"/>
      <c r="C1" s="43"/>
      <c r="D1" s="43"/>
      <c r="E1" s="43"/>
      <c r="F1" s="43"/>
      <c r="G1" s="43"/>
      <c r="H1" s="43"/>
      <c r="I1" s="43"/>
      <c r="J1" s="43"/>
      <c r="K1" s="43"/>
    </row>
    <row r="2" spans="1:15" x14ac:dyDescent="0.3">
      <c r="A2" s="2"/>
      <c r="B2" s="2"/>
      <c r="C2" s="2"/>
      <c r="D2" s="2"/>
      <c r="E2" s="2"/>
      <c r="F2" s="2"/>
      <c r="G2" s="2"/>
      <c r="H2" s="44" t="s">
        <v>30</v>
      </c>
      <c r="I2" s="44"/>
      <c r="J2" s="44"/>
      <c r="K2" s="2"/>
    </row>
    <row r="3" spans="1:15" x14ac:dyDescent="0.3">
      <c r="A3" s="5" t="s">
        <v>31</v>
      </c>
      <c r="B3" s="5" t="s">
        <v>32</v>
      </c>
      <c r="C3" s="5" t="s">
        <v>33</v>
      </c>
      <c r="D3" s="5" t="s">
        <v>34</v>
      </c>
      <c r="E3" s="5" t="s">
        <v>35</v>
      </c>
      <c r="F3" s="5" t="s">
        <v>36</v>
      </c>
      <c r="G3" s="5" t="s">
        <v>37</v>
      </c>
      <c r="H3" s="5" t="s">
        <v>38</v>
      </c>
      <c r="I3" s="5" t="s">
        <v>39</v>
      </c>
      <c r="J3" s="5" t="s">
        <v>40</v>
      </c>
      <c r="K3" s="5" t="s">
        <v>41</v>
      </c>
      <c r="M3" s="19" t="s">
        <v>31</v>
      </c>
      <c r="N3">
        <v>101</v>
      </c>
    </row>
    <row r="4" spans="1:15" x14ac:dyDescent="0.3">
      <c r="A4" s="2">
        <v>101</v>
      </c>
      <c r="B4" s="2" t="s">
        <v>42</v>
      </c>
      <c r="C4" s="2">
        <v>1</v>
      </c>
      <c r="D4" s="2">
        <v>1200</v>
      </c>
      <c r="E4" s="2">
        <f>C4*D4</f>
        <v>1200</v>
      </c>
      <c r="F4" s="2">
        <f>E4*12/100</f>
        <v>144</v>
      </c>
      <c r="G4" s="2">
        <f>E4-F4</f>
        <v>1056</v>
      </c>
      <c r="H4" s="2">
        <f>G4*6/100</f>
        <v>63.36</v>
      </c>
      <c r="I4" s="2">
        <f>G4*6%</f>
        <v>63.36</v>
      </c>
      <c r="J4" s="2">
        <f>G4*12/100</f>
        <v>126.72</v>
      </c>
      <c r="K4" s="2">
        <f>G4+J4</f>
        <v>1182.72</v>
      </c>
      <c r="M4" s="19" t="s">
        <v>32</v>
      </c>
      <c r="N4" t="str">
        <f>VLOOKUP(N3,A3:K8,2)</f>
        <v>Table</v>
      </c>
    </row>
    <row r="5" spans="1:15" x14ac:dyDescent="0.3">
      <c r="A5" s="2">
        <v>102</v>
      </c>
      <c r="B5" s="2" t="s">
        <v>43</v>
      </c>
      <c r="C5" s="2">
        <v>10</v>
      </c>
      <c r="D5" s="2">
        <v>10</v>
      </c>
      <c r="E5" s="2">
        <f t="shared" ref="E5:E8" si="0">C5*D5</f>
        <v>100</v>
      </c>
      <c r="F5" s="2">
        <f t="shared" ref="F5:F8" si="1">E5*12/100</f>
        <v>12</v>
      </c>
      <c r="G5" s="2">
        <f t="shared" ref="G5:G8" si="2">E5-F5</f>
        <v>88</v>
      </c>
      <c r="H5" s="2">
        <f t="shared" ref="H5:H8" si="3">G5*6/100</f>
        <v>5.28</v>
      </c>
      <c r="I5" s="2">
        <f t="shared" ref="I5:I8" si="4">G5*6%</f>
        <v>5.2799999999999994</v>
      </c>
      <c r="J5" s="2">
        <f t="shared" ref="J5:J8" si="5">G5*12/100</f>
        <v>10.56</v>
      </c>
      <c r="K5" s="2">
        <f t="shared" ref="K5:K8" si="6">G5+J5</f>
        <v>98.56</v>
      </c>
      <c r="M5" s="19" t="s">
        <v>36</v>
      </c>
      <c r="N5">
        <f>VLOOKUP(N3,A3:K8,6)</f>
        <v>144</v>
      </c>
    </row>
    <row r="6" spans="1:15" x14ac:dyDescent="0.3">
      <c r="A6" s="2">
        <v>103</v>
      </c>
      <c r="B6" s="2" t="s">
        <v>44</v>
      </c>
      <c r="C6" s="2">
        <v>6</v>
      </c>
      <c r="D6" s="2">
        <v>500</v>
      </c>
      <c r="E6" s="2">
        <f t="shared" si="0"/>
        <v>3000</v>
      </c>
      <c r="F6" s="2">
        <f t="shared" si="1"/>
        <v>360</v>
      </c>
      <c r="G6" s="2">
        <f t="shared" si="2"/>
        <v>2640</v>
      </c>
      <c r="H6" s="2">
        <f t="shared" si="3"/>
        <v>158.4</v>
      </c>
      <c r="I6" s="2">
        <f t="shared" si="4"/>
        <v>158.4</v>
      </c>
      <c r="J6" s="2">
        <f t="shared" si="5"/>
        <v>316.8</v>
      </c>
      <c r="K6" s="2">
        <f t="shared" si="6"/>
        <v>2956.8</v>
      </c>
      <c r="M6" s="19" t="s">
        <v>41</v>
      </c>
      <c r="N6">
        <f>VLOOKUP(N3,A3:K8,11)</f>
        <v>1182.72</v>
      </c>
    </row>
    <row r="7" spans="1:15" x14ac:dyDescent="0.3">
      <c r="A7" s="2">
        <v>104</v>
      </c>
      <c r="B7" s="2" t="s">
        <v>45</v>
      </c>
      <c r="C7" s="2">
        <v>5</v>
      </c>
      <c r="D7" s="2">
        <v>35</v>
      </c>
      <c r="E7" s="2">
        <f t="shared" si="0"/>
        <v>175</v>
      </c>
      <c r="F7" s="2">
        <f t="shared" si="1"/>
        <v>21</v>
      </c>
      <c r="G7" s="2">
        <f t="shared" si="2"/>
        <v>154</v>
      </c>
      <c r="H7" s="2">
        <f t="shared" si="3"/>
        <v>9.24</v>
      </c>
      <c r="I7" s="2">
        <f t="shared" si="4"/>
        <v>9.24</v>
      </c>
      <c r="J7" s="2">
        <f t="shared" si="5"/>
        <v>18.48</v>
      </c>
      <c r="K7" s="2">
        <f t="shared" si="6"/>
        <v>172.48</v>
      </c>
    </row>
    <row r="8" spans="1:15" x14ac:dyDescent="0.3">
      <c r="A8" s="2">
        <v>105</v>
      </c>
      <c r="B8" s="2" t="s">
        <v>46</v>
      </c>
      <c r="C8" s="2">
        <v>2</v>
      </c>
      <c r="D8" s="2">
        <v>177.55681818181822</v>
      </c>
      <c r="E8" s="2">
        <f t="shared" si="0"/>
        <v>355.11363636363643</v>
      </c>
      <c r="F8" s="2">
        <f t="shared" si="1"/>
        <v>42.613636363636367</v>
      </c>
      <c r="G8" s="2">
        <f t="shared" si="2"/>
        <v>312.50000000000006</v>
      </c>
      <c r="H8" s="2">
        <f t="shared" si="3"/>
        <v>18.750000000000004</v>
      </c>
      <c r="I8" s="2">
        <f t="shared" si="4"/>
        <v>18.750000000000004</v>
      </c>
      <c r="J8" s="2">
        <f t="shared" si="5"/>
        <v>37.500000000000007</v>
      </c>
      <c r="K8" s="2">
        <f t="shared" si="6"/>
        <v>350.00000000000006</v>
      </c>
    </row>
    <row r="9" spans="1:15" x14ac:dyDescent="0.3">
      <c r="N9" s="27" t="s">
        <v>33</v>
      </c>
      <c r="O9" s="27" t="s">
        <v>41</v>
      </c>
    </row>
    <row r="10" spans="1:15" x14ac:dyDescent="0.3">
      <c r="B10" s="2" t="s">
        <v>50</v>
      </c>
      <c r="C10" s="2">
        <f t="shared" ref="C10:K10" si="7">AVERAGE(C1:C5)</f>
        <v>5.5</v>
      </c>
      <c r="D10" s="2">
        <f t="shared" si="7"/>
        <v>605</v>
      </c>
      <c r="E10" s="2">
        <f t="shared" si="7"/>
        <v>650</v>
      </c>
      <c r="F10" s="2">
        <f t="shared" si="7"/>
        <v>78</v>
      </c>
      <c r="G10" s="2">
        <f t="shared" si="7"/>
        <v>572</v>
      </c>
      <c r="H10" s="2">
        <f t="shared" si="7"/>
        <v>34.32</v>
      </c>
      <c r="I10" s="2">
        <f t="shared" si="7"/>
        <v>34.32</v>
      </c>
      <c r="J10" s="2">
        <f t="shared" si="7"/>
        <v>68.64</v>
      </c>
      <c r="K10" s="2">
        <f t="shared" si="7"/>
        <v>640.64</v>
      </c>
      <c r="O10" s="2">
        <f>G4+J4</f>
        <v>1182.72</v>
      </c>
    </row>
    <row r="11" spans="1:15" x14ac:dyDescent="0.3">
      <c r="B11" s="2" t="s">
        <v>49</v>
      </c>
      <c r="C11" s="2">
        <f t="shared" ref="C11:K11" si="8">MAX(C3:C7)</f>
        <v>10</v>
      </c>
      <c r="D11" s="2">
        <f t="shared" si="8"/>
        <v>1200</v>
      </c>
      <c r="E11" s="2">
        <f t="shared" si="8"/>
        <v>3000</v>
      </c>
      <c r="F11" s="2">
        <f t="shared" si="8"/>
        <v>360</v>
      </c>
      <c r="G11" s="2">
        <f t="shared" si="8"/>
        <v>2640</v>
      </c>
      <c r="H11" s="2">
        <f t="shared" si="8"/>
        <v>158.4</v>
      </c>
      <c r="I11" s="2">
        <f t="shared" si="8"/>
        <v>158.4</v>
      </c>
      <c r="J11" s="2">
        <f t="shared" si="8"/>
        <v>316.8</v>
      </c>
      <c r="K11" s="2">
        <f t="shared" si="8"/>
        <v>2956.8</v>
      </c>
      <c r="N11">
        <v>10</v>
      </c>
      <c r="O11">
        <f t="dataTable" ref="O11:O15" dt2D="0" dtr="0" r1="C4"/>
        <v>11827.2</v>
      </c>
    </row>
    <row r="12" spans="1:15" x14ac:dyDescent="0.3">
      <c r="B12" s="2" t="s">
        <v>48</v>
      </c>
      <c r="C12" s="2">
        <f t="shared" ref="C12:K12" si="9">MIN(C5:C9)</f>
        <v>2</v>
      </c>
      <c r="D12" s="2">
        <f t="shared" si="9"/>
        <v>10</v>
      </c>
      <c r="E12" s="2">
        <f t="shared" si="9"/>
        <v>100</v>
      </c>
      <c r="F12" s="2">
        <f t="shared" si="9"/>
        <v>12</v>
      </c>
      <c r="G12" s="2">
        <f t="shared" si="9"/>
        <v>88</v>
      </c>
      <c r="H12" s="2">
        <f t="shared" si="9"/>
        <v>5.28</v>
      </c>
      <c r="I12" s="2">
        <f t="shared" si="9"/>
        <v>5.2799999999999994</v>
      </c>
      <c r="J12" s="2">
        <f t="shared" si="9"/>
        <v>10.56</v>
      </c>
      <c r="K12" s="2">
        <f t="shared" si="9"/>
        <v>98.56</v>
      </c>
      <c r="N12">
        <v>50</v>
      </c>
      <c r="O12">
        <v>59136</v>
      </c>
    </row>
    <row r="13" spans="1:15" x14ac:dyDescent="0.3">
      <c r="B13" s="2" t="s">
        <v>47</v>
      </c>
      <c r="C13" s="2">
        <f t="shared" ref="C13:K13" si="10">SUM(C7:C11)</f>
        <v>22.5</v>
      </c>
      <c r="D13" s="2">
        <f t="shared" si="10"/>
        <v>2017.5568181818182</v>
      </c>
      <c r="E13" s="2">
        <f t="shared" si="10"/>
        <v>4180.113636363636</v>
      </c>
      <c r="F13" s="2">
        <f t="shared" si="10"/>
        <v>501.61363636363637</v>
      </c>
      <c r="G13" s="2">
        <f t="shared" si="10"/>
        <v>3678.5</v>
      </c>
      <c r="H13" s="2">
        <f t="shared" si="10"/>
        <v>220.71</v>
      </c>
      <c r="I13" s="2">
        <f t="shared" si="10"/>
        <v>220.71</v>
      </c>
      <c r="J13" s="2">
        <f t="shared" si="10"/>
        <v>441.42</v>
      </c>
      <c r="K13" s="2">
        <f t="shared" si="10"/>
        <v>4119.92</v>
      </c>
      <c r="N13">
        <v>100</v>
      </c>
      <c r="O13">
        <v>118272</v>
      </c>
    </row>
    <row r="14" spans="1:15" x14ac:dyDescent="0.3">
      <c r="N14">
        <v>500</v>
      </c>
      <c r="O14">
        <v>591360</v>
      </c>
    </row>
    <row r="15" spans="1:15" x14ac:dyDescent="0.3">
      <c r="N15">
        <v>1000</v>
      </c>
      <c r="O15">
        <v>1182720</v>
      </c>
    </row>
    <row r="16" spans="1:15" ht="14.4" customHeight="1" x14ac:dyDescent="0.3">
      <c r="A16" s="43" t="s">
        <v>29</v>
      </c>
      <c r="B16" s="2"/>
      <c r="C16" s="19" t="s">
        <v>31</v>
      </c>
      <c r="D16" s="2">
        <v>101</v>
      </c>
      <c r="E16" s="2">
        <v>102</v>
      </c>
      <c r="F16" s="2">
        <v>103</v>
      </c>
      <c r="G16" s="2">
        <v>104</v>
      </c>
      <c r="H16" s="2">
        <v>105</v>
      </c>
      <c r="J16" s="19" t="s">
        <v>31</v>
      </c>
      <c r="K16">
        <v>105</v>
      </c>
    </row>
    <row r="17" spans="1:11" ht="14.4" customHeight="1" x14ac:dyDescent="0.3">
      <c r="A17" s="43"/>
      <c r="B17" s="2"/>
      <c r="C17" s="19" t="s">
        <v>32</v>
      </c>
      <c r="D17" s="2" t="s">
        <v>42</v>
      </c>
      <c r="E17" s="2" t="s">
        <v>43</v>
      </c>
      <c r="F17" s="2" t="s">
        <v>44</v>
      </c>
      <c r="G17" s="2" t="s">
        <v>45</v>
      </c>
      <c r="H17" s="2" t="s">
        <v>46</v>
      </c>
      <c r="J17" s="19" t="s">
        <v>32</v>
      </c>
      <c r="K17" t="str">
        <f>HLOOKUP(K16,C16:H26,2)</f>
        <v>bags</v>
      </c>
    </row>
    <row r="18" spans="1:11" ht="14.4" customHeight="1" x14ac:dyDescent="0.3">
      <c r="A18" s="43"/>
      <c r="B18" s="2"/>
      <c r="C18" s="19" t="s">
        <v>33</v>
      </c>
      <c r="D18" s="2">
        <v>1</v>
      </c>
      <c r="E18" s="2">
        <v>10</v>
      </c>
      <c r="F18" s="2">
        <v>6</v>
      </c>
      <c r="G18" s="2">
        <v>5</v>
      </c>
      <c r="H18" s="2">
        <v>2</v>
      </c>
      <c r="J18" s="19" t="s">
        <v>36</v>
      </c>
      <c r="K18">
        <f>HLOOKUP(K16,C16:H26,6)</f>
        <v>48</v>
      </c>
    </row>
    <row r="19" spans="1:11" ht="14.4" customHeight="1" x14ac:dyDescent="0.3">
      <c r="A19" s="43"/>
      <c r="B19" s="2"/>
      <c r="C19" s="19" t="s">
        <v>34</v>
      </c>
      <c r="D19" s="2">
        <v>1200</v>
      </c>
      <c r="E19" s="2">
        <v>10</v>
      </c>
      <c r="F19" s="2">
        <v>500</v>
      </c>
      <c r="G19" s="2">
        <v>35</v>
      </c>
      <c r="H19" s="2">
        <v>200</v>
      </c>
      <c r="J19" s="19" t="s">
        <v>41</v>
      </c>
      <c r="K19">
        <f>HLOOKUP(K16,C16:H26,11)</f>
        <v>394.24</v>
      </c>
    </row>
    <row r="20" spans="1:11" ht="14.4" customHeight="1" x14ac:dyDescent="0.3">
      <c r="A20" s="43"/>
      <c r="B20" s="2"/>
      <c r="C20" s="19" t="s">
        <v>35</v>
      </c>
      <c r="D20" s="2">
        <f>D18*D19</f>
        <v>1200</v>
      </c>
      <c r="E20" s="2">
        <f>E18*E19</f>
        <v>100</v>
      </c>
      <c r="F20" s="2">
        <f>F18*F19</f>
        <v>3000</v>
      </c>
      <c r="G20" s="2">
        <f>G18*G19</f>
        <v>175</v>
      </c>
      <c r="H20" s="2">
        <f>H18*H19</f>
        <v>400</v>
      </c>
    </row>
    <row r="21" spans="1:11" ht="14.4" customHeight="1" x14ac:dyDescent="0.3">
      <c r="A21" s="43"/>
      <c r="B21" s="2"/>
      <c r="C21" s="19" t="s">
        <v>36</v>
      </c>
      <c r="D21" s="2">
        <f>D20*12/100</f>
        <v>144</v>
      </c>
      <c r="E21" s="2">
        <f>E20*12/100</f>
        <v>12</v>
      </c>
      <c r="F21" s="2">
        <f>F20*12/100</f>
        <v>360</v>
      </c>
      <c r="G21" s="2">
        <f>G20*12/100</f>
        <v>21</v>
      </c>
      <c r="H21" s="2">
        <f>H20*12/100</f>
        <v>48</v>
      </c>
    </row>
    <row r="22" spans="1:11" ht="14.4" customHeight="1" x14ac:dyDescent="0.3">
      <c r="A22" s="43"/>
      <c r="B22" s="2"/>
      <c r="C22" s="19" t="s">
        <v>37</v>
      </c>
      <c r="D22" s="2">
        <f>D20-D21</f>
        <v>1056</v>
      </c>
      <c r="E22" s="2">
        <f>E20-E21</f>
        <v>88</v>
      </c>
      <c r="F22" s="2">
        <f>F20-F21</f>
        <v>2640</v>
      </c>
      <c r="G22" s="2">
        <f>G20-G21</f>
        <v>154</v>
      </c>
      <c r="H22" s="2">
        <f>H20-H21</f>
        <v>352</v>
      </c>
    </row>
    <row r="23" spans="1:11" ht="14.4" customHeight="1" x14ac:dyDescent="0.3">
      <c r="A23" s="43"/>
      <c r="B23" s="44" t="s">
        <v>30</v>
      </c>
      <c r="C23" s="19" t="s">
        <v>38</v>
      </c>
      <c r="D23" s="2">
        <f>D22*6/100</f>
        <v>63.36</v>
      </c>
      <c r="E23" s="2">
        <f>E22*6/100</f>
        <v>5.28</v>
      </c>
      <c r="F23" s="2">
        <f>F22*6/100</f>
        <v>158.4</v>
      </c>
      <c r="G23" s="2">
        <f>G22*6/100</f>
        <v>9.24</v>
      </c>
      <c r="H23" s="2">
        <f>H22*6/100</f>
        <v>21.12</v>
      </c>
    </row>
    <row r="24" spans="1:11" ht="14.4" customHeight="1" x14ac:dyDescent="0.3">
      <c r="A24" s="43"/>
      <c r="B24" s="44"/>
      <c r="C24" s="19" t="s">
        <v>39</v>
      </c>
      <c r="D24" s="2">
        <f>D22*6%</f>
        <v>63.36</v>
      </c>
      <c r="E24" s="2">
        <f>E22*6%</f>
        <v>5.2799999999999994</v>
      </c>
      <c r="F24" s="2">
        <f>F22*6%</f>
        <v>158.4</v>
      </c>
      <c r="G24" s="2">
        <f>G22*6%</f>
        <v>9.24</v>
      </c>
      <c r="H24" s="2">
        <f>H22*6%</f>
        <v>21.119999999999997</v>
      </c>
    </row>
    <row r="25" spans="1:11" ht="14.4" customHeight="1" x14ac:dyDescent="0.3">
      <c r="A25" s="43"/>
      <c r="B25" s="44"/>
      <c r="C25" s="19" t="s">
        <v>40</v>
      </c>
      <c r="D25" s="2">
        <f>D22*12/100</f>
        <v>126.72</v>
      </c>
      <c r="E25" s="2">
        <f>E22*12/100</f>
        <v>10.56</v>
      </c>
      <c r="F25" s="2">
        <f>F22*12/100</f>
        <v>316.8</v>
      </c>
      <c r="G25" s="2">
        <f>G22*12/100</f>
        <v>18.48</v>
      </c>
      <c r="H25" s="2">
        <f>H22*12/100</f>
        <v>42.24</v>
      </c>
    </row>
    <row r="26" spans="1:11" ht="14.4" customHeight="1" x14ac:dyDescent="0.3">
      <c r="A26" s="43"/>
      <c r="B26" s="2"/>
      <c r="C26" s="19" t="s">
        <v>41</v>
      </c>
      <c r="D26" s="2">
        <f>D22+D25</f>
        <v>1182.72</v>
      </c>
      <c r="E26" s="2">
        <f>E22+E25</f>
        <v>98.56</v>
      </c>
      <c r="F26" s="2">
        <f>F22+F25</f>
        <v>2956.8</v>
      </c>
      <c r="G26" s="2">
        <f>G22+G25</f>
        <v>172.48</v>
      </c>
      <c r="H26" s="2">
        <f>H22+H25</f>
        <v>394.24</v>
      </c>
    </row>
  </sheetData>
  <sortState ref="B10:K13">
    <sortCondition ref="B10"/>
  </sortState>
  <customSheetViews>
    <customSheetView guid="{159720CD-1700-4E26-B733-9FDE983FE022}" scale="120">
      <selection activeCell="N10" sqref="N10:O15"/>
      <pageMargins left="0.7" right="0.7" top="0.75" bottom="0.75" header="0.3" footer="0.3"/>
      <pageSetup paperSize="9" orientation="portrait" r:id="rId1"/>
    </customSheetView>
  </customSheetViews>
  <mergeCells count="4">
    <mergeCell ref="A1:K1"/>
    <mergeCell ref="H2:J2"/>
    <mergeCell ref="A16:A26"/>
    <mergeCell ref="B23:B25"/>
  </mergeCells>
  <dataValidations count="2">
    <dataValidation type="list" allowBlank="1" showInputMessage="1" showErrorMessage="1" sqref="N3">
      <formula1>$A$4:$A$8</formula1>
    </dataValidation>
    <dataValidation type="list" allowBlank="1" showInputMessage="1" showErrorMessage="1" sqref="K16">
      <formula1>$D$16:$H$16</formula1>
    </dataValidation>
  </dataValidation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120" zoomScaleNormal="120" workbookViewId="0">
      <selection activeCell="N11" sqref="N11"/>
    </sheetView>
  </sheetViews>
  <sheetFormatPr defaultRowHeight="14.4" x14ac:dyDescent="0.3"/>
  <sheetData>
    <row r="1" spans="1:8" ht="19.2" thickTop="1" thickBot="1" x14ac:dyDescent="0.35">
      <c r="A1" s="45" t="s">
        <v>133</v>
      </c>
      <c r="B1" s="45"/>
      <c r="D1" s="46" t="s">
        <v>50</v>
      </c>
      <c r="E1" s="46"/>
      <c r="G1" s="46" t="s">
        <v>47</v>
      </c>
      <c r="H1" s="46"/>
    </row>
    <row r="2" spans="1:8" ht="15.6" thickTop="1" thickBot="1" x14ac:dyDescent="0.35">
      <c r="A2" s="20" t="s">
        <v>32</v>
      </c>
      <c r="B2" s="20" t="s">
        <v>33</v>
      </c>
      <c r="D2" s="26"/>
      <c r="E2" s="26" t="s">
        <v>33</v>
      </c>
      <c r="G2" s="26"/>
      <c r="H2" s="26" t="s">
        <v>33</v>
      </c>
    </row>
    <row r="3" spans="1:8" ht="15.6" thickTop="1" thickBot="1" x14ac:dyDescent="0.35">
      <c r="A3" s="2" t="s">
        <v>42</v>
      </c>
      <c r="B3" s="2">
        <v>1</v>
      </c>
      <c r="D3" s="26" t="s">
        <v>42</v>
      </c>
      <c r="E3" s="26">
        <v>1</v>
      </c>
      <c r="G3" s="26" t="s">
        <v>42</v>
      </c>
      <c r="H3" s="26">
        <v>3</v>
      </c>
    </row>
    <row r="4" spans="1:8" ht="15.6" thickTop="1" thickBot="1" x14ac:dyDescent="0.35">
      <c r="A4" s="2" t="s">
        <v>43</v>
      </c>
      <c r="B4" s="2">
        <v>10</v>
      </c>
      <c r="D4" s="26" t="s">
        <v>43</v>
      </c>
      <c r="E4" s="26">
        <v>10</v>
      </c>
      <c r="G4" s="26" t="s">
        <v>43</v>
      </c>
      <c r="H4" s="26">
        <v>30</v>
      </c>
    </row>
    <row r="5" spans="1:8" ht="15.6" thickTop="1" thickBot="1" x14ac:dyDescent="0.35">
      <c r="A5" s="2" t="s">
        <v>44</v>
      </c>
      <c r="B5" s="2">
        <v>6</v>
      </c>
      <c r="D5" s="26" t="s">
        <v>44</v>
      </c>
      <c r="E5" s="26">
        <v>7</v>
      </c>
      <c r="G5" s="26" t="s">
        <v>44</v>
      </c>
      <c r="H5" s="26">
        <v>21</v>
      </c>
    </row>
    <row r="6" spans="1:8" ht="15.6" thickTop="1" thickBot="1" x14ac:dyDescent="0.35">
      <c r="A6" s="2" t="s">
        <v>45</v>
      </c>
      <c r="B6" s="2">
        <v>5</v>
      </c>
      <c r="D6" s="26" t="s">
        <v>45</v>
      </c>
      <c r="E6" s="26">
        <v>5.333333333333333</v>
      </c>
      <c r="G6" s="26" t="s">
        <v>45</v>
      </c>
      <c r="H6" s="26">
        <v>16</v>
      </c>
    </row>
    <row r="7" spans="1:8" ht="15.6" thickTop="1" thickBot="1" x14ac:dyDescent="0.35">
      <c r="A7" s="2" t="s">
        <v>46</v>
      </c>
      <c r="B7" s="2">
        <v>2</v>
      </c>
      <c r="D7" s="26" t="s">
        <v>46</v>
      </c>
      <c r="E7" s="26">
        <v>2.6666666666666665</v>
      </c>
      <c r="G7" s="26" t="s">
        <v>46</v>
      </c>
      <c r="H7" s="26">
        <v>8</v>
      </c>
    </row>
    <row r="8" spans="1:8" ht="15.6" thickTop="1" thickBot="1" x14ac:dyDescent="0.35"/>
    <row r="9" spans="1:8" ht="19.2" thickTop="1" thickBot="1" x14ac:dyDescent="0.35">
      <c r="A9" s="45" t="s">
        <v>134</v>
      </c>
      <c r="B9" s="45"/>
      <c r="D9" s="46" t="s">
        <v>49</v>
      </c>
      <c r="E9" s="46"/>
      <c r="G9" s="46" t="s">
        <v>48</v>
      </c>
      <c r="H9" s="46"/>
    </row>
    <row r="10" spans="1:8" ht="15.6" thickTop="1" thickBot="1" x14ac:dyDescent="0.35">
      <c r="A10" s="20" t="s">
        <v>32</v>
      </c>
      <c r="B10" s="20" t="s">
        <v>33</v>
      </c>
      <c r="D10" s="26"/>
      <c r="E10" s="26" t="s">
        <v>33</v>
      </c>
      <c r="G10" s="26"/>
      <c r="H10" s="26" t="s">
        <v>33</v>
      </c>
    </row>
    <row r="11" spans="1:8" ht="15.6" thickTop="1" thickBot="1" x14ac:dyDescent="0.35">
      <c r="A11" s="2" t="s">
        <v>42</v>
      </c>
      <c r="B11" s="2">
        <v>2</v>
      </c>
      <c r="D11" s="26" t="s">
        <v>42</v>
      </c>
      <c r="E11" s="26">
        <v>2</v>
      </c>
      <c r="G11" s="26" t="s">
        <v>42</v>
      </c>
      <c r="H11" s="26">
        <v>0</v>
      </c>
    </row>
    <row r="12" spans="1:8" ht="15.6" thickTop="1" thickBot="1" x14ac:dyDescent="0.35">
      <c r="A12" s="2" t="s">
        <v>43</v>
      </c>
      <c r="B12" s="2">
        <v>5</v>
      </c>
      <c r="D12" s="26" t="s">
        <v>43</v>
      </c>
      <c r="E12" s="26">
        <v>15</v>
      </c>
      <c r="G12" s="26" t="s">
        <v>43</v>
      </c>
      <c r="H12" s="26">
        <v>5</v>
      </c>
    </row>
    <row r="13" spans="1:8" ht="15.6" thickTop="1" thickBot="1" x14ac:dyDescent="0.35">
      <c r="A13" s="2" t="s">
        <v>44</v>
      </c>
      <c r="B13" s="2">
        <v>3</v>
      </c>
      <c r="D13" s="26" t="s">
        <v>44</v>
      </c>
      <c r="E13" s="26">
        <v>12</v>
      </c>
      <c r="G13" s="26" t="s">
        <v>44</v>
      </c>
      <c r="H13" s="26">
        <v>3</v>
      </c>
    </row>
    <row r="14" spans="1:8" ht="15.6" thickTop="1" thickBot="1" x14ac:dyDescent="0.35">
      <c r="A14" s="2" t="s">
        <v>45</v>
      </c>
      <c r="B14" s="2">
        <v>10</v>
      </c>
      <c r="D14" s="26" t="s">
        <v>45</v>
      </c>
      <c r="E14" s="26">
        <v>10</v>
      </c>
      <c r="G14" s="26" t="s">
        <v>45</v>
      </c>
      <c r="H14" s="26">
        <v>1</v>
      </c>
    </row>
    <row r="15" spans="1:8" ht="15.6" thickTop="1" thickBot="1" x14ac:dyDescent="0.35">
      <c r="A15" s="2" t="s">
        <v>46</v>
      </c>
      <c r="B15" s="2">
        <v>5</v>
      </c>
      <c r="D15" s="26" t="s">
        <v>46</v>
      </c>
      <c r="E15" s="26">
        <v>5</v>
      </c>
      <c r="G15" s="26" t="s">
        <v>46</v>
      </c>
      <c r="H15" s="26">
        <v>1</v>
      </c>
    </row>
    <row r="16" spans="1:8" ht="15" thickTop="1" x14ac:dyDescent="0.3"/>
    <row r="17" spans="1:2" x14ac:dyDescent="0.3">
      <c r="A17" s="45" t="s">
        <v>135</v>
      </c>
      <c r="B17" s="45"/>
    </row>
    <row r="18" spans="1:2" x14ac:dyDescent="0.3">
      <c r="A18" s="20" t="s">
        <v>32</v>
      </c>
      <c r="B18" s="20" t="s">
        <v>33</v>
      </c>
    </row>
    <row r="19" spans="1:2" x14ac:dyDescent="0.3">
      <c r="A19" s="2" t="s">
        <v>42</v>
      </c>
      <c r="B19" s="2">
        <v>0</v>
      </c>
    </row>
    <row r="20" spans="1:2" x14ac:dyDescent="0.3">
      <c r="A20" s="2" t="s">
        <v>43</v>
      </c>
      <c r="B20" s="2">
        <v>15</v>
      </c>
    </row>
    <row r="21" spans="1:2" x14ac:dyDescent="0.3">
      <c r="A21" s="2" t="s">
        <v>44</v>
      </c>
      <c r="B21" s="2">
        <v>12</v>
      </c>
    </row>
    <row r="22" spans="1:2" x14ac:dyDescent="0.3">
      <c r="A22" s="2" t="s">
        <v>45</v>
      </c>
      <c r="B22" s="2">
        <v>1</v>
      </c>
    </row>
    <row r="23" spans="1:2" x14ac:dyDescent="0.3">
      <c r="A23" s="2" t="s">
        <v>46</v>
      </c>
      <c r="B23" s="2">
        <v>1</v>
      </c>
    </row>
  </sheetData>
  <dataConsolidate function="min" topLabels="1">
    <dataRefs count="3">
      <dataRef ref="A2:B7" sheet="CONSOLIDATE"/>
      <dataRef ref="A10:B15" sheet="CONSOLIDATE"/>
      <dataRef ref="A18:B23" sheet="CONSOLIDATE"/>
    </dataRefs>
  </dataConsolidate>
  <customSheetViews>
    <customSheetView guid="{159720CD-1700-4E26-B733-9FDE983FE022}" scale="120">
      <selection activeCell="N11" sqref="N11"/>
      <pageMargins left="0.7" right="0.7" top="0.75" bottom="0.75" header="0.3" footer="0.3"/>
    </customSheetView>
  </customSheetViews>
  <mergeCells count="7">
    <mergeCell ref="A1:B1"/>
    <mergeCell ref="A9:B9"/>
    <mergeCell ref="A17:B17"/>
    <mergeCell ref="D1:E1"/>
    <mergeCell ref="G1:H1"/>
    <mergeCell ref="D9:E9"/>
    <mergeCell ref="G9:H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8"/>
  <sheetViews>
    <sheetView workbookViewId="0">
      <selection activeCell="M17" sqref="M17"/>
    </sheetView>
  </sheetViews>
  <sheetFormatPr defaultRowHeight="14.4" x14ac:dyDescent="0.3"/>
  <cols>
    <col min="1" max="1" width="14.33203125" customWidth="1"/>
    <col min="2" max="2" width="13.33203125" bestFit="1" customWidth="1"/>
    <col min="3" max="3" width="10.33203125" customWidth="1"/>
    <col min="4" max="4" width="9.6640625" customWidth="1"/>
    <col min="5" max="5" width="12" bestFit="1" customWidth="1"/>
    <col min="6" max="6" width="9.21875" customWidth="1"/>
    <col min="7" max="7" width="10.44140625" customWidth="1"/>
    <col min="8" max="8" width="11.6640625" customWidth="1"/>
    <col min="9" max="9" width="10.33203125" customWidth="1"/>
    <col min="10" max="10" width="10" customWidth="1"/>
    <col min="11" max="11" width="10.77734375" customWidth="1"/>
  </cols>
  <sheetData>
    <row r="3" spans="1:11" x14ac:dyDescent="0.3">
      <c r="A3" s="22" t="s">
        <v>122</v>
      </c>
      <c r="B3" t="s">
        <v>121</v>
      </c>
      <c r="C3" t="s">
        <v>125</v>
      </c>
      <c r="D3" t="s">
        <v>126</v>
      </c>
      <c r="E3" t="s">
        <v>127</v>
      </c>
      <c r="F3" t="s">
        <v>128</v>
      </c>
      <c r="G3" t="s">
        <v>132</v>
      </c>
      <c r="H3" t="s">
        <v>124</v>
      </c>
      <c r="I3" t="s">
        <v>129</v>
      </c>
      <c r="J3" t="s">
        <v>130</v>
      </c>
      <c r="K3" t="s">
        <v>131</v>
      </c>
    </row>
    <row r="4" spans="1:11" x14ac:dyDescent="0.3">
      <c r="A4" s="23" t="s">
        <v>68</v>
      </c>
      <c r="B4" s="21">
        <v>104</v>
      </c>
      <c r="C4" s="21">
        <v>6400</v>
      </c>
      <c r="D4" s="21">
        <v>3200</v>
      </c>
      <c r="E4" s="21">
        <v>29600</v>
      </c>
      <c r="F4" s="21">
        <v>2400</v>
      </c>
      <c r="G4" s="21">
        <v>26650</v>
      </c>
      <c r="H4" s="21">
        <v>20000</v>
      </c>
      <c r="I4" s="21">
        <v>200</v>
      </c>
      <c r="J4" s="21">
        <v>350</v>
      </c>
      <c r="K4" s="21">
        <v>2950</v>
      </c>
    </row>
    <row r="5" spans="1:11" x14ac:dyDescent="0.3">
      <c r="A5" s="24" t="s">
        <v>69</v>
      </c>
      <c r="B5" s="21">
        <v>104</v>
      </c>
      <c r="C5" s="21">
        <v>6400</v>
      </c>
      <c r="D5" s="21">
        <v>3200</v>
      </c>
      <c r="E5" s="21">
        <v>29600</v>
      </c>
      <c r="F5" s="21">
        <v>2400</v>
      </c>
      <c r="G5" s="21">
        <v>26650</v>
      </c>
      <c r="H5" s="21">
        <v>20000</v>
      </c>
      <c r="I5" s="21">
        <v>200</v>
      </c>
      <c r="J5" s="21">
        <v>350</v>
      </c>
      <c r="K5" s="21">
        <v>2950</v>
      </c>
    </row>
    <row r="6" spans="1:11" x14ac:dyDescent="0.3">
      <c r="A6" s="23" t="s">
        <v>71</v>
      </c>
      <c r="B6" s="21">
        <v>106</v>
      </c>
      <c r="C6" s="21">
        <v>2560</v>
      </c>
      <c r="D6" s="21">
        <v>1280</v>
      </c>
      <c r="E6" s="21">
        <v>11840</v>
      </c>
      <c r="F6" s="21">
        <v>960</v>
      </c>
      <c r="G6" s="21">
        <v>10660</v>
      </c>
      <c r="H6" s="21">
        <v>8000</v>
      </c>
      <c r="I6" s="21">
        <v>80</v>
      </c>
      <c r="J6" s="21">
        <v>140</v>
      </c>
      <c r="K6" s="21">
        <v>1180</v>
      </c>
    </row>
    <row r="7" spans="1:11" x14ac:dyDescent="0.3">
      <c r="A7" s="24" t="s">
        <v>72</v>
      </c>
      <c r="B7" s="21">
        <v>106</v>
      </c>
      <c r="C7" s="21">
        <v>2560</v>
      </c>
      <c r="D7" s="21">
        <v>1280</v>
      </c>
      <c r="E7" s="21">
        <v>11840</v>
      </c>
      <c r="F7" s="21">
        <v>960</v>
      </c>
      <c r="G7" s="21">
        <v>10660</v>
      </c>
      <c r="H7" s="21">
        <v>8000</v>
      </c>
      <c r="I7" s="21">
        <v>80</v>
      </c>
      <c r="J7" s="21">
        <v>140</v>
      </c>
      <c r="K7" s="21">
        <v>1180</v>
      </c>
    </row>
    <row r="8" spans="1:11" x14ac:dyDescent="0.3">
      <c r="A8" s="23" t="s">
        <v>66</v>
      </c>
      <c r="B8" s="21">
        <v>103</v>
      </c>
      <c r="C8" s="21">
        <v>3200</v>
      </c>
      <c r="D8" s="21">
        <v>1600</v>
      </c>
      <c r="E8" s="21">
        <v>14800</v>
      </c>
      <c r="F8" s="21">
        <v>1200</v>
      </c>
      <c r="G8" s="21">
        <v>13325</v>
      </c>
      <c r="H8" s="21">
        <v>10000</v>
      </c>
      <c r="I8" s="21">
        <v>100</v>
      </c>
      <c r="J8" s="21">
        <v>175</v>
      </c>
      <c r="K8" s="21">
        <v>1475</v>
      </c>
    </row>
    <row r="9" spans="1:11" x14ac:dyDescent="0.3">
      <c r="A9" s="24" t="s">
        <v>67</v>
      </c>
      <c r="B9" s="21">
        <v>103</v>
      </c>
      <c r="C9" s="21">
        <v>3200</v>
      </c>
      <c r="D9" s="21">
        <v>1600</v>
      </c>
      <c r="E9" s="21">
        <v>14800</v>
      </c>
      <c r="F9" s="21">
        <v>1200</v>
      </c>
      <c r="G9" s="21">
        <v>13325</v>
      </c>
      <c r="H9" s="21">
        <v>10000</v>
      </c>
      <c r="I9" s="21">
        <v>100</v>
      </c>
      <c r="J9" s="21">
        <v>175</v>
      </c>
      <c r="K9" s="21">
        <v>1475</v>
      </c>
    </row>
    <row r="10" spans="1:11" x14ac:dyDescent="0.3">
      <c r="A10" s="23" t="s">
        <v>73</v>
      </c>
      <c r="B10" s="21">
        <v>107</v>
      </c>
      <c r="C10" s="21">
        <v>3840</v>
      </c>
      <c r="D10" s="21">
        <v>1920</v>
      </c>
      <c r="E10" s="21">
        <v>17760</v>
      </c>
      <c r="F10" s="21">
        <v>1440</v>
      </c>
      <c r="G10" s="21">
        <v>15990</v>
      </c>
      <c r="H10" s="21">
        <v>12000</v>
      </c>
      <c r="I10" s="21">
        <v>120</v>
      </c>
      <c r="J10" s="21">
        <v>210</v>
      </c>
      <c r="K10" s="21">
        <v>1770</v>
      </c>
    </row>
    <row r="11" spans="1:11" x14ac:dyDescent="0.3">
      <c r="A11" s="24" t="s">
        <v>74</v>
      </c>
      <c r="B11" s="21">
        <v>107</v>
      </c>
      <c r="C11" s="21">
        <v>3840</v>
      </c>
      <c r="D11" s="21">
        <v>1920</v>
      </c>
      <c r="E11" s="21">
        <v>17760</v>
      </c>
      <c r="F11" s="21">
        <v>1440</v>
      </c>
      <c r="G11" s="21">
        <v>15990</v>
      </c>
      <c r="H11" s="21">
        <v>12000</v>
      </c>
      <c r="I11" s="21">
        <v>120</v>
      </c>
      <c r="J11" s="21">
        <v>210</v>
      </c>
      <c r="K11" s="21">
        <v>1770</v>
      </c>
    </row>
    <row r="12" spans="1:11" x14ac:dyDescent="0.3">
      <c r="A12" s="23" t="s">
        <v>70</v>
      </c>
      <c r="B12" s="21">
        <v>105</v>
      </c>
      <c r="C12" s="21">
        <v>6080</v>
      </c>
      <c r="D12" s="21">
        <v>3040</v>
      </c>
      <c r="E12" s="21">
        <v>28120</v>
      </c>
      <c r="F12" s="21">
        <v>2280</v>
      </c>
      <c r="G12" s="21">
        <v>25317.5</v>
      </c>
      <c r="H12" s="21">
        <v>19000</v>
      </c>
      <c r="I12" s="21">
        <v>190</v>
      </c>
      <c r="J12" s="21">
        <v>332.5</v>
      </c>
      <c r="K12" s="21">
        <v>2802.5</v>
      </c>
    </row>
    <row r="13" spans="1:11" x14ac:dyDescent="0.3">
      <c r="A13" s="24" t="s">
        <v>69</v>
      </c>
      <c r="B13" s="21">
        <v>105</v>
      </c>
      <c r="C13" s="21">
        <v>6080</v>
      </c>
      <c r="D13" s="21">
        <v>3040</v>
      </c>
      <c r="E13" s="21">
        <v>28120</v>
      </c>
      <c r="F13" s="21">
        <v>2280</v>
      </c>
      <c r="G13" s="21">
        <v>25317.5</v>
      </c>
      <c r="H13" s="21">
        <v>19000</v>
      </c>
      <c r="I13" s="21">
        <v>190</v>
      </c>
      <c r="J13" s="21">
        <v>332.5</v>
      </c>
      <c r="K13" s="21">
        <v>2802.5</v>
      </c>
    </row>
    <row r="14" spans="1:11" x14ac:dyDescent="0.3">
      <c r="A14" s="23" t="s">
        <v>63</v>
      </c>
      <c r="B14" s="21">
        <v>101</v>
      </c>
      <c r="C14" s="21">
        <v>4800</v>
      </c>
      <c r="D14" s="21">
        <v>2400</v>
      </c>
      <c r="E14" s="21">
        <v>22200</v>
      </c>
      <c r="F14" s="21">
        <v>1800</v>
      </c>
      <c r="G14" s="21">
        <v>19987.5</v>
      </c>
      <c r="H14" s="21">
        <v>15000</v>
      </c>
      <c r="I14" s="21">
        <v>150</v>
      </c>
      <c r="J14" s="21">
        <v>262.5</v>
      </c>
      <c r="K14" s="21">
        <v>2212.5</v>
      </c>
    </row>
    <row r="15" spans="1:11" x14ac:dyDescent="0.3">
      <c r="A15" s="24" t="s">
        <v>64</v>
      </c>
      <c r="B15" s="21">
        <v>101</v>
      </c>
      <c r="C15" s="21">
        <v>4800</v>
      </c>
      <c r="D15" s="21">
        <v>2400</v>
      </c>
      <c r="E15" s="21">
        <v>22200</v>
      </c>
      <c r="F15" s="21">
        <v>1800</v>
      </c>
      <c r="G15" s="21">
        <v>19987.5</v>
      </c>
      <c r="H15" s="21">
        <v>15000</v>
      </c>
      <c r="I15" s="21">
        <v>150</v>
      </c>
      <c r="J15" s="21">
        <v>262.5</v>
      </c>
      <c r="K15" s="21">
        <v>2212.5</v>
      </c>
    </row>
    <row r="16" spans="1:11" x14ac:dyDescent="0.3">
      <c r="A16" s="23" t="s">
        <v>65</v>
      </c>
      <c r="B16" s="21">
        <v>102</v>
      </c>
      <c r="C16" s="21">
        <v>4800</v>
      </c>
      <c r="D16" s="21">
        <v>2400</v>
      </c>
      <c r="E16" s="21">
        <v>22200</v>
      </c>
      <c r="F16" s="21">
        <v>1800</v>
      </c>
      <c r="G16" s="21">
        <v>19987.5</v>
      </c>
      <c r="H16" s="21">
        <v>15000</v>
      </c>
      <c r="I16" s="21">
        <v>150</v>
      </c>
      <c r="J16" s="21">
        <v>262.5</v>
      </c>
      <c r="K16" s="21">
        <v>2212.5</v>
      </c>
    </row>
    <row r="17" spans="1:11" x14ac:dyDescent="0.3">
      <c r="A17" s="24" t="s">
        <v>64</v>
      </c>
      <c r="B17" s="21">
        <v>102</v>
      </c>
      <c r="C17" s="21">
        <v>4800</v>
      </c>
      <c r="D17" s="21">
        <v>2400</v>
      </c>
      <c r="E17" s="21">
        <v>22200</v>
      </c>
      <c r="F17" s="21">
        <v>1800</v>
      </c>
      <c r="G17" s="21">
        <v>19987.5</v>
      </c>
      <c r="H17" s="21">
        <v>15000</v>
      </c>
      <c r="I17" s="21">
        <v>150</v>
      </c>
      <c r="J17" s="21">
        <v>262.5</v>
      </c>
      <c r="K17" s="21">
        <v>2212.5</v>
      </c>
    </row>
    <row r="18" spans="1:11" x14ac:dyDescent="0.3">
      <c r="A18" s="23" t="s">
        <v>123</v>
      </c>
      <c r="B18" s="21">
        <v>728</v>
      </c>
      <c r="C18" s="21">
        <v>31680</v>
      </c>
      <c r="D18" s="21">
        <v>15840</v>
      </c>
      <c r="E18" s="21">
        <v>146520</v>
      </c>
      <c r="F18" s="21">
        <v>11880</v>
      </c>
      <c r="G18" s="21">
        <v>131917.5</v>
      </c>
      <c r="H18" s="21">
        <v>99000</v>
      </c>
      <c r="I18" s="21">
        <v>990</v>
      </c>
      <c r="J18" s="21">
        <v>1732.5</v>
      </c>
      <c r="K18" s="21">
        <v>14602.5</v>
      </c>
    </row>
  </sheetData>
  <customSheetViews>
    <customSheetView guid="{159720CD-1700-4E26-B733-9FDE983FE022}">
      <selection activeCell="M17" sqref="M17"/>
      <pageMargins left="0.7" right="0.7" top="0.75" bottom="0.75" header="0.3" footer="0.3"/>
    </customSheetView>
  </customSheetView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140" zoomScaleNormal="140" workbookViewId="0">
      <selection activeCell="L15" sqref="L15"/>
    </sheetView>
  </sheetViews>
  <sheetFormatPr defaultRowHeight="14.4" outlineLevelRow="1" x14ac:dyDescent="0.3"/>
  <cols>
    <col min="3" max="3" width="10.6640625" bestFit="1" customWidth="1"/>
  </cols>
  <sheetData>
    <row r="1" spans="1:12" ht="21" x14ac:dyDescent="0.3">
      <c r="A1" s="42" t="s">
        <v>51</v>
      </c>
      <c r="B1" s="42"/>
      <c r="C1" s="42"/>
      <c r="D1" s="42"/>
      <c r="E1" s="42"/>
      <c r="F1" s="42"/>
      <c r="G1" s="42"/>
      <c r="H1" s="42"/>
      <c r="I1" s="42"/>
      <c r="J1" s="42"/>
      <c r="K1" s="42"/>
      <c r="L1" s="42"/>
    </row>
    <row r="2" spans="1:12" ht="15.6" x14ac:dyDescent="0.3">
      <c r="A2" s="2" t="s">
        <v>52</v>
      </c>
      <c r="B2" s="6" t="s">
        <v>53</v>
      </c>
      <c r="C2" s="6" t="s">
        <v>54</v>
      </c>
      <c r="D2" s="6" t="s">
        <v>55</v>
      </c>
      <c r="E2" s="6" t="s">
        <v>56</v>
      </c>
      <c r="F2" s="6" t="s">
        <v>57</v>
      </c>
      <c r="G2" s="6" t="s">
        <v>58</v>
      </c>
      <c r="H2" s="7" t="s">
        <v>59</v>
      </c>
      <c r="I2" s="8" t="s">
        <v>60</v>
      </c>
      <c r="J2" s="8" t="s">
        <v>61</v>
      </c>
      <c r="K2" s="8" t="s">
        <v>62</v>
      </c>
      <c r="L2" s="8" t="s">
        <v>41</v>
      </c>
    </row>
    <row r="3" spans="1:12" x14ac:dyDescent="0.3">
      <c r="A3" s="9">
        <v>101</v>
      </c>
      <c r="B3" s="2" t="s">
        <v>63</v>
      </c>
      <c r="C3" s="2" t="s">
        <v>64</v>
      </c>
      <c r="D3" s="10">
        <v>15000</v>
      </c>
      <c r="E3" s="10">
        <f t="shared" ref="E3:E9" si="0">D3*32/100</f>
        <v>4800</v>
      </c>
      <c r="F3" s="10">
        <f t="shared" ref="F3:F9" si="1">D3*16%</f>
        <v>2400</v>
      </c>
      <c r="G3" s="11">
        <f t="shared" ref="G3:G9" si="2">D3+E3+F3</f>
        <v>22200</v>
      </c>
      <c r="H3" s="11">
        <f t="shared" ref="H3:H9" si="3">D3*12%</f>
        <v>1800</v>
      </c>
      <c r="I3" s="11">
        <f t="shared" ref="I3:I9" si="4">D3*1%</f>
        <v>150</v>
      </c>
      <c r="J3" s="16">
        <f t="shared" ref="J3:J9" si="5">D3*1.75/100</f>
        <v>262.5</v>
      </c>
      <c r="K3" s="16">
        <f>H3+I3+J3</f>
        <v>2212.5</v>
      </c>
      <c r="L3" s="16">
        <f>G3-K3</f>
        <v>19987.5</v>
      </c>
    </row>
    <row r="4" spans="1:12" x14ac:dyDescent="0.3">
      <c r="A4" s="9">
        <v>102</v>
      </c>
      <c r="B4" s="12" t="s">
        <v>65</v>
      </c>
      <c r="C4" s="12" t="s">
        <v>64</v>
      </c>
      <c r="D4" s="10">
        <v>15000</v>
      </c>
      <c r="E4" s="10">
        <f t="shared" si="0"/>
        <v>4800</v>
      </c>
      <c r="F4" s="10">
        <f t="shared" si="1"/>
        <v>2400</v>
      </c>
      <c r="G4" s="11">
        <f t="shared" si="2"/>
        <v>22200</v>
      </c>
      <c r="H4" s="11">
        <f t="shared" si="3"/>
        <v>1800</v>
      </c>
      <c r="I4" s="11">
        <f t="shared" si="4"/>
        <v>150</v>
      </c>
      <c r="J4" s="16">
        <f t="shared" si="5"/>
        <v>262.5</v>
      </c>
      <c r="K4" s="11">
        <f t="shared" ref="K4:K9" si="6">H4+I4+J4</f>
        <v>2212.5</v>
      </c>
      <c r="L4" s="16">
        <f t="shared" ref="L4:L9" si="7">G4-K4</f>
        <v>19987.5</v>
      </c>
    </row>
    <row r="5" spans="1:12" x14ac:dyDescent="0.3">
      <c r="A5" s="9">
        <v>103</v>
      </c>
      <c r="B5" s="12" t="s">
        <v>66</v>
      </c>
      <c r="C5" s="12" t="s">
        <v>67</v>
      </c>
      <c r="D5" s="10">
        <v>10000</v>
      </c>
      <c r="E5" s="10">
        <f t="shared" si="0"/>
        <v>3200</v>
      </c>
      <c r="F5" s="10">
        <f t="shared" si="1"/>
        <v>1600</v>
      </c>
      <c r="G5" s="11">
        <f t="shared" si="2"/>
        <v>14800</v>
      </c>
      <c r="H5" s="11">
        <f t="shared" si="3"/>
        <v>1200</v>
      </c>
      <c r="I5" s="11">
        <f t="shared" si="4"/>
        <v>100</v>
      </c>
      <c r="J5" s="16">
        <f t="shared" si="5"/>
        <v>175</v>
      </c>
      <c r="K5" s="11">
        <f t="shared" si="6"/>
        <v>1475</v>
      </c>
      <c r="L5" s="16">
        <f t="shared" si="7"/>
        <v>13325</v>
      </c>
    </row>
    <row r="6" spans="1:12" x14ac:dyDescent="0.3">
      <c r="A6" s="9">
        <v>104</v>
      </c>
      <c r="B6" s="12" t="s">
        <v>68</v>
      </c>
      <c r="C6" s="12" t="s">
        <v>69</v>
      </c>
      <c r="D6" s="10">
        <v>20000</v>
      </c>
      <c r="E6" s="10">
        <f t="shared" si="0"/>
        <v>6400</v>
      </c>
      <c r="F6" s="10">
        <f t="shared" si="1"/>
        <v>3200</v>
      </c>
      <c r="G6" s="11">
        <f t="shared" si="2"/>
        <v>29600</v>
      </c>
      <c r="H6" s="11">
        <f t="shared" si="3"/>
        <v>2400</v>
      </c>
      <c r="I6" s="11">
        <f t="shared" si="4"/>
        <v>200</v>
      </c>
      <c r="J6" s="16">
        <f t="shared" si="5"/>
        <v>350</v>
      </c>
      <c r="K6" s="11">
        <f t="shared" si="6"/>
        <v>2950</v>
      </c>
      <c r="L6" s="16">
        <f t="shared" si="7"/>
        <v>26650</v>
      </c>
    </row>
    <row r="7" spans="1:12" x14ac:dyDescent="0.3">
      <c r="A7" s="9">
        <v>105</v>
      </c>
      <c r="B7" s="12" t="s">
        <v>70</v>
      </c>
      <c r="C7" s="12" t="s">
        <v>69</v>
      </c>
      <c r="D7" s="10">
        <v>19000</v>
      </c>
      <c r="E7" s="10">
        <f t="shared" si="0"/>
        <v>6080</v>
      </c>
      <c r="F7" s="10">
        <f t="shared" si="1"/>
        <v>3040</v>
      </c>
      <c r="G7" s="11">
        <f t="shared" si="2"/>
        <v>28120</v>
      </c>
      <c r="H7" s="11">
        <f t="shared" si="3"/>
        <v>2280</v>
      </c>
      <c r="I7" s="11">
        <f t="shared" si="4"/>
        <v>190</v>
      </c>
      <c r="J7" s="16">
        <f t="shared" si="5"/>
        <v>332.5</v>
      </c>
      <c r="K7" s="11">
        <f t="shared" si="6"/>
        <v>2802.5</v>
      </c>
      <c r="L7" s="16">
        <f t="shared" si="7"/>
        <v>25317.5</v>
      </c>
    </row>
    <row r="8" spans="1:12" x14ac:dyDescent="0.3">
      <c r="A8" s="9">
        <v>106</v>
      </c>
      <c r="B8" s="2" t="s">
        <v>71</v>
      </c>
      <c r="C8" s="2" t="s">
        <v>72</v>
      </c>
      <c r="D8" s="10">
        <v>9005.6285178236394</v>
      </c>
      <c r="E8" s="10">
        <f t="shared" si="0"/>
        <v>2881.8011257035646</v>
      </c>
      <c r="F8" s="10">
        <f t="shared" si="1"/>
        <v>1440.9005628517823</v>
      </c>
      <c r="G8" s="11">
        <f t="shared" si="2"/>
        <v>13328.330206378987</v>
      </c>
      <c r="H8" s="11">
        <f t="shared" si="3"/>
        <v>1080.6754221388367</v>
      </c>
      <c r="I8" s="11">
        <f t="shared" si="4"/>
        <v>90.056285178236394</v>
      </c>
      <c r="J8" s="16">
        <f t="shared" si="5"/>
        <v>157.59849906191369</v>
      </c>
      <c r="K8" s="11">
        <f t="shared" si="6"/>
        <v>1328.3302063789865</v>
      </c>
      <c r="L8" s="16">
        <f t="shared" si="7"/>
        <v>12000</v>
      </c>
    </row>
    <row r="9" spans="1:12" x14ac:dyDescent="0.3">
      <c r="A9" s="9">
        <v>107</v>
      </c>
      <c r="B9" s="2" t="s">
        <v>73</v>
      </c>
      <c r="C9" s="2" t="s">
        <v>74</v>
      </c>
      <c r="D9" s="10">
        <v>12000</v>
      </c>
      <c r="E9" s="10">
        <f t="shared" si="0"/>
        <v>3840</v>
      </c>
      <c r="F9" s="10">
        <f t="shared" si="1"/>
        <v>1920</v>
      </c>
      <c r="G9" s="11">
        <f t="shared" si="2"/>
        <v>17760</v>
      </c>
      <c r="H9" s="11">
        <f t="shared" si="3"/>
        <v>1440</v>
      </c>
      <c r="I9" s="11">
        <f t="shared" si="4"/>
        <v>120</v>
      </c>
      <c r="J9" s="16">
        <f t="shared" si="5"/>
        <v>210</v>
      </c>
      <c r="K9" s="11">
        <f t="shared" si="6"/>
        <v>1770</v>
      </c>
      <c r="L9" s="16">
        <f t="shared" si="7"/>
        <v>15990</v>
      </c>
    </row>
    <row r="10" spans="1:12" outlineLevel="1" x14ac:dyDescent="0.3"/>
    <row r="11" spans="1:12" outlineLevel="1" x14ac:dyDescent="0.3">
      <c r="E11" s="17"/>
      <c r="F11" s="17"/>
      <c r="J11" s="18"/>
      <c r="L11" s="18"/>
    </row>
    <row r="12" spans="1:12" outlineLevel="1" x14ac:dyDescent="0.3">
      <c r="B12" s="40" t="s">
        <v>123</v>
      </c>
      <c r="D12">
        <f>SUBTOTAL(9,D3:D11)</f>
        <v>100005.62851782364</v>
      </c>
      <c r="E12" s="17"/>
      <c r="F12" s="17"/>
      <c r="G12">
        <f>SUBTOTAL(9,G3:G11)</f>
        <v>148008.330206379</v>
      </c>
      <c r="J12" s="18"/>
      <c r="L12" s="18">
        <f>SUBTOTAL(9,L3:L11)</f>
        <v>133257.5</v>
      </c>
    </row>
    <row r="13" spans="1:12" x14ac:dyDescent="0.3">
      <c r="K13" t="s">
        <v>156</v>
      </c>
    </row>
    <row r="15" spans="1:12" x14ac:dyDescent="0.3">
      <c r="G15" t="s">
        <v>157</v>
      </c>
    </row>
  </sheetData>
  <customSheetViews>
    <customSheetView guid="{159720CD-1700-4E26-B733-9FDE983FE022}" scale="140">
      <selection activeCell="L15" sqref="L15"/>
      <pageMargins left="0.7" right="0.7" top="0.75" bottom="0.75" header="0.3" footer="0.3"/>
    </customSheetView>
  </customSheetViews>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190" zoomScaleNormal="190" workbookViewId="0">
      <selection activeCell="H3" sqref="H3"/>
    </sheetView>
  </sheetViews>
  <sheetFormatPr defaultRowHeight="14.4" x14ac:dyDescent="0.3"/>
  <cols>
    <col min="3" max="3" width="9.88671875" bestFit="1" customWidth="1"/>
    <col min="4" max="4" width="10.44140625" bestFit="1" customWidth="1"/>
    <col min="8" max="8" width="20.44140625" bestFit="1" customWidth="1"/>
  </cols>
  <sheetData>
    <row r="1" spans="1:8" ht="18" x14ac:dyDescent="0.3">
      <c r="A1" s="47" t="s">
        <v>75</v>
      </c>
      <c r="B1" s="47"/>
      <c r="C1" s="47"/>
      <c r="D1" s="47"/>
      <c r="E1" s="47"/>
      <c r="F1" s="47"/>
      <c r="G1" s="47"/>
      <c r="H1" s="47"/>
    </row>
    <row r="2" spans="1:8" x14ac:dyDescent="0.3">
      <c r="A2" s="5" t="s">
        <v>76</v>
      </c>
      <c r="B2" s="5" t="s">
        <v>77</v>
      </c>
      <c r="C2" s="5" t="s">
        <v>54</v>
      </c>
      <c r="D2" s="5" t="s">
        <v>78</v>
      </c>
      <c r="E2" s="5" t="s">
        <v>79</v>
      </c>
      <c r="F2" s="5" t="s">
        <v>80</v>
      </c>
      <c r="G2" s="5" t="s">
        <v>81</v>
      </c>
      <c r="H2" s="5" t="s">
        <v>82</v>
      </c>
    </row>
    <row r="3" spans="1:8" x14ac:dyDescent="0.3">
      <c r="A3" s="2">
        <v>1</v>
      </c>
      <c r="B3" s="2" t="s">
        <v>83</v>
      </c>
      <c r="C3" s="2" t="s">
        <v>84</v>
      </c>
      <c r="D3" s="13">
        <v>39553</v>
      </c>
      <c r="E3" s="2">
        <f ca="1">DATEDIF(D3,NOW(),"y")</f>
        <v>11</v>
      </c>
      <c r="F3" s="2">
        <f ca="1">DATEDIF(D3,NOW(),"ym")</f>
        <v>7</v>
      </c>
      <c r="G3" s="2">
        <f ca="1">DATEDIF(D3,NOW(),"md")</f>
        <v>22</v>
      </c>
      <c r="H3" s="2" t="str">
        <f ca="1">DATEDIF(D3,NOW(),"y")&amp;"year"&amp;DATEDIF(D3,NOW(),"ym")&amp;"Months"&amp;DATEDIF(D3,NOW(),"md")&amp;"days"</f>
        <v>11year7Months22days</v>
      </c>
    </row>
    <row r="4" spans="1:8" x14ac:dyDescent="0.3">
      <c r="A4" s="2">
        <v>2</v>
      </c>
      <c r="B4" s="2" t="s">
        <v>85</v>
      </c>
      <c r="C4" s="2" t="s">
        <v>86</v>
      </c>
      <c r="D4" s="13">
        <v>31581</v>
      </c>
      <c r="E4" s="2">
        <f t="shared" ref="E4:E7" ca="1" si="0">DATEDIF(D4,NOW(),"y")</f>
        <v>33</v>
      </c>
      <c r="F4" s="2">
        <f t="shared" ref="F4:F7" ca="1" si="1">DATEDIF(D4,NOW(),"ym")</f>
        <v>5</v>
      </c>
      <c r="G4" s="2">
        <f t="shared" ref="G4:G7" ca="1" si="2">DATEDIF(D4,NOW(),"md")</f>
        <v>19</v>
      </c>
      <c r="H4" s="2" t="str">
        <f t="shared" ref="H4:H7" ca="1" si="3">DATEDIF(D4,NOW(),"y")&amp;"year"&amp;DATEDIF(D4,NOW(),"ym")&amp;"Months"&amp;DATEDIF(D4,NOW(),"md")&amp;"days"</f>
        <v>33year5Months19days</v>
      </c>
    </row>
    <row r="5" spans="1:8" x14ac:dyDescent="0.3">
      <c r="A5" s="2">
        <v>3</v>
      </c>
      <c r="B5" s="2" t="s">
        <v>87</v>
      </c>
      <c r="C5" s="2" t="s">
        <v>88</v>
      </c>
      <c r="D5" s="13">
        <v>39393</v>
      </c>
      <c r="E5" s="2">
        <f t="shared" ca="1" si="0"/>
        <v>12</v>
      </c>
      <c r="F5" s="2">
        <f t="shared" ca="1" si="1"/>
        <v>1</v>
      </c>
      <c r="G5" s="2">
        <f t="shared" ca="1" si="2"/>
        <v>0</v>
      </c>
      <c r="H5" s="2" t="str">
        <f t="shared" ca="1" si="3"/>
        <v>12year1Months0days</v>
      </c>
    </row>
    <row r="6" spans="1:8" x14ac:dyDescent="0.3">
      <c r="A6" s="2">
        <v>4</v>
      </c>
      <c r="B6" s="2" t="s">
        <v>89</v>
      </c>
      <c r="C6" s="2" t="s">
        <v>90</v>
      </c>
      <c r="D6" s="13">
        <v>40879</v>
      </c>
      <c r="E6" s="2">
        <f t="shared" ca="1" si="0"/>
        <v>8</v>
      </c>
      <c r="F6" s="2">
        <f t="shared" ca="1" si="1"/>
        <v>0</v>
      </c>
      <c r="G6" s="2">
        <f t="shared" ca="1" si="2"/>
        <v>5</v>
      </c>
      <c r="H6" s="2" t="str">
        <f t="shared" ca="1" si="3"/>
        <v>8year0Months5days</v>
      </c>
    </row>
    <row r="7" spans="1:8" x14ac:dyDescent="0.3">
      <c r="A7" s="2">
        <v>5</v>
      </c>
      <c r="B7" s="2" t="s">
        <v>91</v>
      </c>
      <c r="C7" s="2" t="s">
        <v>69</v>
      </c>
      <c r="D7" s="13">
        <v>31805</v>
      </c>
      <c r="E7" s="2">
        <f t="shared" ca="1" si="0"/>
        <v>32</v>
      </c>
      <c r="F7" s="2">
        <f t="shared" ca="1" si="1"/>
        <v>10</v>
      </c>
      <c r="G7" s="2">
        <f t="shared" ca="1" si="2"/>
        <v>9</v>
      </c>
      <c r="H7" s="2" t="str">
        <f t="shared" ca="1" si="3"/>
        <v>32year10Months9days</v>
      </c>
    </row>
  </sheetData>
  <customSheetViews>
    <customSheetView guid="{159720CD-1700-4E26-B733-9FDE983FE022}" scale="190">
      <selection activeCell="H3" sqref="H3"/>
      <pageMargins left="0.7" right="0.7" top="0.75" bottom="0.75" header="0.3" footer="0.3"/>
    </customSheetView>
  </customSheetViews>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70" zoomScaleNormal="170" workbookViewId="0">
      <selection activeCell="G16" sqref="G16"/>
    </sheetView>
  </sheetViews>
  <sheetFormatPr defaultRowHeight="14.4" x14ac:dyDescent="0.3"/>
  <cols>
    <col min="2" max="2" width="9.109375" bestFit="1" customWidth="1"/>
    <col min="4" max="4" width="10.77734375" bestFit="1" customWidth="1"/>
  </cols>
  <sheetData>
    <row r="1" spans="1:7" ht="21" x14ac:dyDescent="0.3">
      <c r="A1" s="49" t="s">
        <v>92</v>
      </c>
      <c r="B1" s="49"/>
      <c r="C1" s="49"/>
      <c r="D1" s="49"/>
      <c r="E1" s="49"/>
      <c r="F1" s="49"/>
      <c r="G1" s="49"/>
    </row>
    <row r="2" spans="1:7" x14ac:dyDescent="0.3">
      <c r="A2" s="14" t="s">
        <v>77</v>
      </c>
      <c r="B2" s="14" t="s">
        <v>93</v>
      </c>
      <c r="C2" s="14" t="s">
        <v>94</v>
      </c>
      <c r="D2" s="14" t="s">
        <v>95</v>
      </c>
      <c r="E2" s="48" t="s">
        <v>96</v>
      </c>
      <c r="F2" s="2" t="s">
        <v>97</v>
      </c>
      <c r="G2" s="2">
        <f>COUNTIF(B3:B9,B3)</f>
        <v>2</v>
      </c>
    </row>
    <row r="3" spans="1:7" x14ac:dyDescent="0.3">
      <c r="A3" s="2" t="s">
        <v>98</v>
      </c>
      <c r="B3" s="2" t="s">
        <v>96</v>
      </c>
      <c r="C3" s="2">
        <v>85</v>
      </c>
      <c r="D3" s="2" t="str">
        <f>IF(C3&gt;=75,"Outstanding",IF(C3&gt;=60,"Excellent",IF(C3&gt;=50,"Good",IF(C3&gt;=35,"Pass",IF(C3&lt;=35,"Fail")))))</f>
        <v>Outstanding</v>
      </c>
      <c r="E3" s="48"/>
      <c r="F3" s="2" t="s">
        <v>47</v>
      </c>
      <c r="G3" s="2">
        <f>SUMIF(B3:B9,B3,C3:C9)</f>
        <v>140</v>
      </c>
    </row>
    <row r="4" spans="1:7" x14ac:dyDescent="0.3">
      <c r="A4" s="2" t="s">
        <v>99</v>
      </c>
      <c r="B4" s="2" t="s">
        <v>100</v>
      </c>
      <c r="C4" s="2">
        <v>75</v>
      </c>
      <c r="D4" s="2" t="str">
        <f t="shared" ref="D4:D9" si="0">IF(C4&gt;=75,"Outstanding",IF(C4&gt;=60,"Excellent",IF(C4&gt;=50,"Good",IF(C4&gt;=35,"Pass",IF(C4&lt;=35,"Fail")))))</f>
        <v>Outstanding</v>
      </c>
    </row>
    <row r="5" spans="1:7" x14ac:dyDescent="0.3">
      <c r="A5" s="2" t="s">
        <v>87</v>
      </c>
      <c r="B5" s="2" t="s">
        <v>101</v>
      </c>
      <c r="C5" s="2">
        <v>68</v>
      </c>
      <c r="D5" s="2" t="str">
        <f t="shared" si="0"/>
        <v>Excellent</v>
      </c>
      <c r="E5" s="48" t="s">
        <v>100</v>
      </c>
      <c r="F5" s="2" t="s">
        <v>97</v>
      </c>
      <c r="G5" s="2">
        <f>COUNTIF(B3:B9,B4)</f>
        <v>2</v>
      </c>
    </row>
    <row r="6" spans="1:7" x14ac:dyDescent="0.3">
      <c r="A6" s="2" t="s">
        <v>99</v>
      </c>
      <c r="B6" s="2" t="s">
        <v>102</v>
      </c>
      <c r="C6" s="2">
        <v>35</v>
      </c>
      <c r="D6" s="2" t="str">
        <f t="shared" si="0"/>
        <v>Pass</v>
      </c>
      <c r="E6" s="48"/>
      <c r="F6" s="2" t="s">
        <v>47</v>
      </c>
      <c r="G6" s="2">
        <f>SUMIF(B3:B9,B4,C3:C9)</f>
        <v>163</v>
      </c>
    </row>
    <row r="7" spans="1:7" x14ac:dyDescent="0.3">
      <c r="A7" s="2" t="s">
        <v>98</v>
      </c>
      <c r="B7" s="2" t="s">
        <v>100</v>
      </c>
      <c r="C7" s="2">
        <v>88</v>
      </c>
      <c r="D7" s="2" t="str">
        <f t="shared" si="0"/>
        <v>Outstanding</v>
      </c>
    </row>
    <row r="8" spans="1:7" x14ac:dyDescent="0.3">
      <c r="A8" s="2" t="s">
        <v>87</v>
      </c>
      <c r="B8" s="2" t="s">
        <v>96</v>
      </c>
      <c r="C8" s="2">
        <v>55</v>
      </c>
      <c r="D8" s="2" t="str">
        <f t="shared" si="0"/>
        <v>Good</v>
      </c>
      <c r="E8" s="48" t="s">
        <v>101</v>
      </c>
      <c r="F8" s="2" t="s">
        <v>97</v>
      </c>
      <c r="G8" s="2">
        <f>COUNTIF(B3:B9,B9)</f>
        <v>2</v>
      </c>
    </row>
    <row r="9" spans="1:7" x14ac:dyDescent="0.3">
      <c r="A9" s="2" t="s">
        <v>98</v>
      </c>
      <c r="B9" s="2" t="s">
        <v>101</v>
      </c>
      <c r="C9" s="2">
        <v>12</v>
      </c>
      <c r="D9" s="2" t="str">
        <f t="shared" si="0"/>
        <v>Fail</v>
      </c>
      <c r="E9" s="48"/>
      <c r="F9" s="2" t="s">
        <v>47</v>
      </c>
      <c r="G9" s="2">
        <f>SUMIF(B3:B9,B5,C3:C9)</f>
        <v>80</v>
      </c>
    </row>
    <row r="11" spans="1:7" x14ac:dyDescent="0.3">
      <c r="B11" s="2" t="s">
        <v>47</v>
      </c>
      <c r="C11" s="2">
        <f>SUM(C3:C9)</f>
        <v>418</v>
      </c>
      <c r="E11" s="48" t="s">
        <v>98</v>
      </c>
      <c r="F11" s="2" t="s">
        <v>97</v>
      </c>
      <c r="G11" s="2">
        <f>COUNTIF(A3:A9,A9)</f>
        <v>3</v>
      </c>
    </row>
    <row r="12" spans="1:7" x14ac:dyDescent="0.3">
      <c r="B12" s="2" t="s">
        <v>48</v>
      </c>
      <c r="C12" s="2">
        <f>MIN(C3:C9)</f>
        <v>12</v>
      </c>
      <c r="E12" s="48"/>
      <c r="F12" s="2" t="s">
        <v>47</v>
      </c>
      <c r="G12" s="2">
        <f>SUMIF(A3:A9,A9,C3:C9)</f>
        <v>185</v>
      </c>
    </row>
    <row r="13" spans="1:7" x14ac:dyDescent="0.3">
      <c r="B13" s="2" t="s">
        <v>49</v>
      </c>
      <c r="C13" s="2">
        <f>MAX(C3:C9)</f>
        <v>88</v>
      </c>
    </row>
    <row r="14" spans="1:7" x14ac:dyDescent="0.3">
      <c r="B14" s="2" t="s">
        <v>50</v>
      </c>
      <c r="C14" s="2">
        <f>AVERAGE(C3:C9)</f>
        <v>59.714285714285715</v>
      </c>
      <c r="E14" s="48" t="s">
        <v>87</v>
      </c>
      <c r="F14" s="2" t="s">
        <v>97</v>
      </c>
      <c r="G14" s="2">
        <f>COUNTIF(A3:A9,A8)</f>
        <v>2</v>
      </c>
    </row>
    <row r="15" spans="1:7" x14ac:dyDescent="0.3">
      <c r="E15" s="48"/>
      <c r="F15" s="2" t="s">
        <v>47</v>
      </c>
      <c r="G15" s="2">
        <f>SUMIF(A3:A9,A8,C3:C9)</f>
        <v>123</v>
      </c>
    </row>
  </sheetData>
  <customSheetViews>
    <customSheetView guid="{159720CD-1700-4E26-B733-9FDE983FE022}" scale="170">
      <selection activeCell="G16" sqref="G16"/>
      <pageMargins left="0.7" right="0.7" top="0.75" bottom="0.75" header="0.3" footer="0.3"/>
    </customSheetView>
  </customSheetViews>
  <mergeCells count="6">
    <mergeCell ref="E14:E15"/>
    <mergeCell ref="A1:G1"/>
    <mergeCell ref="E2:E3"/>
    <mergeCell ref="E5:E6"/>
    <mergeCell ref="E8:E9"/>
    <mergeCell ref="E11:E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I20"/>
  <sheetViews>
    <sheetView showGridLines="0" workbookViewId="0">
      <selection activeCell="J6" sqref="J6"/>
    </sheetView>
  </sheetViews>
  <sheetFormatPr defaultRowHeight="14.4" outlineLevelRow="1" outlineLevelCol="1" x14ac:dyDescent="0.3"/>
  <cols>
    <col min="3" max="3" width="5.88671875" customWidth="1"/>
    <col min="4" max="7" width="13.109375" bestFit="1" customWidth="1" outlineLevel="1"/>
  </cols>
  <sheetData>
    <row r="1" spans="2:9" ht="15" thickBot="1" x14ac:dyDescent="0.35"/>
    <row r="2" spans="2:9" ht="15.6" x14ac:dyDescent="0.3">
      <c r="B2" s="30" t="s">
        <v>149</v>
      </c>
      <c r="C2" s="30"/>
      <c r="D2" s="34"/>
      <c r="E2" s="34"/>
      <c r="F2" s="34"/>
      <c r="G2" s="34"/>
    </row>
    <row r="3" spans="2:9" ht="15.6" collapsed="1" x14ac:dyDescent="0.3">
      <c r="B3" s="29"/>
      <c r="C3" s="29"/>
      <c r="D3" s="35" t="s">
        <v>151</v>
      </c>
      <c r="E3" s="35" t="s">
        <v>144</v>
      </c>
      <c r="F3" s="35" t="s">
        <v>146</v>
      </c>
      <c r="G3" s="35" t="s">
        <v>148</v>
      </c>
      <c r="H3">
        <v>2011</v>
      </c>
    </row>
    <row r="4" spans="2:9" ht="51" hidden="1" outlineLevel="1" x14ac:dyDescent="0.3">
      <c r="B4" s="32"/>
      <c r="C4" s="32"/>
      <c r="D4" s="28"/>
      <c r="E4" s="39" t="s">
        <v>145</v>
      </c>
      <c r="F4" s="39" t="s">
        <v>147</v>
      </c>
      <c r="G4" s="39" t="s">
        <v>147</v>
      </c>
    </row>
    <row r="5" spans="2:9" x14ac:dyDescent="0.3">
      <c r="B5" s="33" t="s">
        <v>150</v>
      </c>
      <c r="C5" s="33"/>
      <c r="D5" s="31"/>
      <c r="E5" s="31"/>
      <c r="F5" s="31"/>
      <c r="G5" s="31"/>
    </row>
    <row r="6" spans="2:9" outlineLevel="1" x14ac:dyDescent="0.3">
      <c r="B6" s="32"/>
      <c r="C6" s="32" t="s">
        <v>155</v>
      </c>
      <c r="D6" s="28">
        <v>100</v>
      </c>
      <c r="E6" s="38">
        <v>89</v>
      </c>
      <c r="F6" s="38">
        <v>89</v>
      </c>
      <c r="G6" s="38">
        <v>78</v>
      </c>
      <c r="H6" s="38">
        <v>89</v>
      </c>
      <c r="I6" s="38">
        <v>45</v>
      </c>
    </row>
    <row r="7" spans="2:9" outlineLevel="1" x14ac:dyDescent="0.3">
      <c r="B7" s="32"/>
      <c r="C7" s="32">
        <v>2012</v>
      </c>
      <c r="D7" s="28">
        <v>100</v>
      </c>
      <c r="E7" s="38">
        <v>69</v>
      </c>
      <c r="F7" s="38">
        <v>54</v>
      </c>
      <c r="G7" s="38">
        <v>96</v>
      </c>
    </row>
    <row r="8" spans="2:9" outlineLevel="1" x14ac:dyDescent="0.3">
      <c r="B8" s="32"/>
      <c r="C8" s="32">
        <v>2013</v>
      </c>
      <c r="D8" s="28">
        <v>100</v>
      </c>
      <c r="E8" s="38">
        <v>58</v>
      </c>
      <c r="F8" s="38">
        <v>96</v>
      </c>
      <c r="G8" s="38">
        <v>98</v>
      </c>
    </row>
    <row r="9" spans="2:9" outlineLevel="1" x14ac:dyDescent="0.3">
      <c r="B9" s="32"/>
      <c r="C9" s="32">
        <v>2014</v>
      </c>
      <c r="D9" s="28">
        <v>100</v>
      </c>
      <c r="E9" s="38">
        <v>78</v>
      </c>
      <c r="F9" s="38">
        <v>89</v>
      </c>
      <c r="G9" s="38">
        <v>59</v>
      </c>
    </row>
    <row r="10" spans="2:9" outlineLevel="1" x14ac:dyDescent="0.3">
      <c r="B10" s="32"/>
      <c r="C10" s="32">
        <v>2015</v>
      </c>
      <c r="D10" s="28">
        <v>100</v>
      </c>
      <c r="E10" s="38">
        <v>54</v>
      </c>
      <c r="F10" s="38">
        <v>78</v>
      </c>
      <c r="G10" s="38">
        <v>69</v>
      </c>
    </row>
    <row r="11" spans="2:9" outlineLevel="1" x14ac:dyDescent="0.3">
      <c r="B11" s="32"/>
      <c r="C11" s="32">
        <v>2016</v>
      </c>
      <c r="D11" s="28">
        <v>100</v>
      </c>
      <c r="E11" s="38">
        <v>78</v>
      </c>
      <c r="F11" s="38">
        <v>58</v>
      </c>
      <c r="G11" s="38">
        <v>8</v>
      </c>
    </row>
    <row r="12" spans="2:9" outlineLevel="1" x14ac:dyDescent="0.3">
      <c r="B12" s="32"/>
      <c r="C12" s="32">
        <v>2017</v>
      </c>
      <c r="D12" s="28">
        <v>100</v>
      </c>
      <c r="E12" s="38">
        <v>69</v>
      </c>
      <c r="F12" s="38">
        <v>96</v>
      </c>
      <c r="G12" s="38">
        <v>96</v>
      </c>
    </row>
    <row r="13" spans="2:9" outlineLevel="1" x14ac:dyDescent="0.3">
      <c r="B13" s="32"/>
      <c r="C13" s="32">
        <v>2018</v>
      </c>
      <c r="D13" s="28">
        <v>100</v>
      </c>
      <c r="E13" s="38">
        <v>100</v>
      </c>
      <c r="F13" s="38">
        <v>89</v>
      </c>
      <c r="G13" s="38">
        <v>98</v>
      </c>
    </row>
    <row r="14" spans="2:9" outlineLevel="1" x14ac:dyDescent="0.3">
      <c r="B14" s="32"/>
      <c r="C14" s="32">
        <v>2019</v>
      </c>
      <c r="D14" s="28">
        <v>100</v>
      </c>
      <c r="E14" s="38">
        <v>100</v>
      </c>
      <c r="F14" s="38">
        <v>100</v>
      </c>
      <c r="G14" s="38">
        <v>100</v>
      </c>
    </row>
    <row r="15" spans="2:9" outlineLevel="1" x14ac:dyDescent="0.3">
      <c r="B15" s="32"/>
      <c r="C15" s="32">
        <v>2020</v>
      </c>
      <c r="D15" s="28">
        <v>100</v>
      </c>
      <c r="E15" s="38">
        <v>100</v>
      </c>
      <c r="F15" s="38">
        <v>100</v>
      </c>
      <c r="G15" s="38">
        <v>100</v>
      </c>
    </row>
    <row r="16" spans="2:9" outlineLevel="1" x14ac:dyDescent="0.3">
      <c r="B16" s="32"/>
      <c r="C16" s="32">
        <v>2021</v>
      </c>
      <c r="D16" s="28">
        <v>100</v>
      </c>
      <c r="E16" s="38">
        <v>100</v>
      </c>
      <c r="F16" s="38">
        <v>100</v>
      </c>
      <c r="G16" s="38">
        <v>100</v>
      </c>
    </row>
    <row r="17" spans="2:7" ht="15" thickBot="1" x14ac:dyDescent="0.35">
      <c r="B17" s="36"/>
      <c r="C17" s="36"/>
      <c r="D17" s="37"/>
      <c r="E17" s="37"/>
      <c r="F17" s="37"/>
      <c r="G17" s="37"/>
    </row>
    <row r="18" spans="2:7" x14ac:dyDescent="0.3">
      <c r="B18" t="s">
        <v>152</v>
      </c>
    </row>
    <row r="19" spans="2:7" x14ac:dyDescent="0.3">
      <c r="B19" t="s">
        <v>153</v>
      </c>
    </row>
    <row r="20" spans="2:7" x14ac:dyDescent="0.3">
      <c r="B20" t="s">
        <v>154</v>
      </c>
    </row>
  </sheetData>
  <customSheetViews>
    <customSheetView guid="{159720CD-1700-4E26-B733-9FDE983FE022}" showGridLines="0" hiddenRows="1">
      <selection activeCell="J6" sqref="J6"/>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zoomScale="140" zoomScaleNormal="140" workbookViewId="0">
      <selection activeCell="L1" sqref="L1:L11"/>
    </sheetView>
  </sheetViews>
  <sheetFormatPr defaultRowHeight="14.4" x14ac:dyDescent="0.3"/>
  <cols>
    <col min="10" max="10" width="11" bestFit="1" customWidth="1"/>
  </cols>
  <sheetData>
    <row r="1" spans="1:12" ht="21" x14ac:dyDescent="0.3">
      <c r="A1" s="42" t="s">
        <v>103</v>
      </c>
      <c r="B1" s="42"/>
      <c r="C1" s="42"/>
      <c r="D1" s="42"/>
      <c r="E1" s="42"/>
      <c r="F1" s="42"/>
      <c r="G1" s="42"/>
      <c r="H1" s="42"/>
      <c r="I1" s="42"/>
      <c r="J1" s="42"/>
      <c r="L1">
        <v>100</v>
      </c>
    </row>
    <row r="2" spans="1:12" x14ac:dyDescent="0.3">
      <c r="A2" s="5" t="s">
        <v>104</v>
      </c>
      <c r="B2" s="5" t="s">
        <v>77</v>
      </c>
      <c r="C2" s="5" t="s">
        <v>105</v>
      </c>
      <c r="D2" s="5" t="s">
        <v>106</v>
      </c>
      <c r="E2" s="5" t="s">
        <v>107</v>
      </c>
      <c r="F2" s="5" t="s">
        <v>47</v>
      </c>
      <c r="G2" s="5" t="s">
        <v>108</v>
      </c>
      <c r="H2" s="5" t="s">
        <v>109</v>
      </c>
      <c r="I2" s="5" t="s">
        <v>110</v>
      </c>
      <c r="J2" s="5" t="s">
        <v>95</v>
      </c>
      <c r="L2">
        <v>100</v>
      </c>
    </row>
    <row r="3" spans="1:12" x14ac:dyDescent="0.3">
      <c r="A3" s="2">
        <v>101</v>
      </c>
      <c r="B3" s="2" t="s">
        <v>111</v>
      </c>
      <c r="C3" s="2">
        <v>25</v>
      </c>
      <c r="D3" s="2">
        <v>16</v>
      </c>
      <c r="E3" s="2">
        <v>35</v>
      </c>
      <c r="F3" s="2">
        <f>C3+D3+E3</f>
        <v>76</v>
      </c>
      <c r="G3" s="15">
        <f>F3/3</f>
        <v>25.333333333333332</v>
      </c>
      <c r="H3" s="2" t="str">
        <f>IF(AND(C3&gt;=35,D3&gt;=35,E3&gt;=35),"Pass","Fail")</f>
        <v>Fail</v>
      </c>
      <c r="I3" s="2" t="str">
        <f>IF(AND(C3&gt;=35,D3&gt;=35,E3&gt;=35),IF(G3&gt;=75,"A",IF(G3&gt;=60,"B",IF(G3&gt;=50,"C",IF(G3&gt;=35,"Pass")))),"Fail")</f>
        <v>Fail</v>
      </c>
      <c r="J3" s="15" t="str">
        <f>IF(AND(C3&gt;=35,D3&gt;=35,E3&gt;=35),IF(G3&gt;=75,"Outstanding",IF(G3&gt;=60,"Excellent",IF(G3&gt;=50,"Good",IF(G3&gt;=35,"Pass")))),"Fail")</f>
        <v>Fail</v>
      </c>
      <c r="L3">
        <v>100</v>
      </c>
    </row>
    <row r="4" spans="1:12" x14ac:dyDescent="0.3">
      <c r="A4" s="2">
        <v>102</v>
      </c>
      <c r="B4" s="2" t="s">
        <v>112</v>
      </c>
      <c r="C4" s="2">
        <v>13</v>
      </c>
      <c r="D4" s="2">
        <v>80</v>
      </c>
      <c r="E4" s="2">
        <v>90</v>
      </c>
      <c r="F4" s="2">
        <f t="shared" ref="F4:F12" si="0">C4+D4+E4</f>
        <v>183</v>
      </c>
      <c r="G4" s="15">
        <f t="shared" ref="G4:G12" si="1">F4/3</f>
        <v>61</v>
      </c>
      <c r="H4" s="2" t="str">
        <f t="shared" ref="H4:H12" si="2">IF(AND(C4&gt;=35,D4&gt;=35,E4&gt;=35),"Pass","Fail")</f>
        <v>Fail</v>
      </c>
      <c r="I4" s="2" t="str">
        <f t="shared" ref="I4:I12" si="3">IF(AND(C4&gt;=35,D4&gt;=35,E4&gt;=35),IF(G4&gt;=75,"A",IF(G4&gt;=60,"B",IF(G4&gt;=50,"C",IF(G4&gt;=35,"Pass")))),"Fail")</f>
        <v>Fail</v>
      </c>
      <c r="J4" s="15" t="str">
        <f t="shared" ref="J4:J12" si="4">IF(AND(C4&gt;=35,D4&gt;=35,E4&gt;=35),IF(G4&gt;=75,"Outstanding",IF(G4&gt;=60,"Excellent",IF(G4&gt;=50,"Good",IF(G4&gt;=35,"Pass")))),"Fail")</f>
        <v>Fail</v>
      </c>
      <c r="L4">
        <v>100</v>
      </c>
    </row>
    <row r="5" spans="1:12" x14ac:dyDescent="0.3">
      <c r="A5" s="2">
        <v>103</v>
      </c>
      <c r="B5" s="2" t="s">
        <v>113</v>
      </c>
      <c r="C5" s="2">
        <v>50</v>
      </c>
      <c r="D5" s="2">
        <v>55</v>
      </c>
      <c r="E5" s="2">
        <v>60</v>
      </c>
      <c r="F5" s="2">
        <f t="shared" si="0"/>
        <v>165</v>
      </c>
      <c r="G5" s="15">
        <f t="shared" si="1"/>
        <v>55</v>
      </c>
      <c r="H5" s="2" t="str">
        <f t="shared" si="2"/>
        <v>Pass</v>
      </c>
      <c r="I5" s="2" t="str">
        <f t="shared" si="3"/>
        <v>C</v>
      </c>
      <c r="J5" s="15" t="str">
        <f t="shared" si="4"/>
        <v>Good</v>
      </c>
      <c r="L5">
        <v>100</v>
      </c>
    </row>
    <row r="6" spans="1:12" x14ac:dyDescent="0.3">
      <c r="A6" s="2">
        <v>104</v>
      </c>
      <c r="B6" s="2" t="s">
        <v>114</v>
      </c>
      <c r="C6" s="2">
        <v>99</v>
      </c>
      <c r="D6" s="2">
        <v>98</v>
      </c>
      <c r="E6" s="2">
        <v>97</v>
      </c>
      <c r="F6" s="2">
        <f t="shared" si="0"/>
        <v>294</v>
      </c>
      <c r="G6" s="15">
        <f t="shared" si="1"/>
        <v>98</v>
      </c>
      <c r="H6" s="2" t="str">
        <f t="shared" si="2"/>
        <v>Pass</v>
      </c>
      <c r="I6" s="2" t="str">
        <f t="shared" si="3"/>
        <v>A</v>
      </c>
      <c r="J6" s="15" t="str">
        <f t="shared" si="4"/>
        <v>Outstanding</v>
      </c>
      <c r="L6">
        <v>100</v>
      </c>
    </row>
    <row r="7" spans="1:12" x14ac:dyDescent="0.3">
      <c r="A7" s="2">
        <v>105</v>
      </c>
      <c r="B7" s="2" t="s">
        <v>115</v>
      </c>
      <c r="C7" s="2">
        <v>45</v>
      </c>
      <c r="D7" s="2">
        <v>20</v>
      </c>
      <c r="E7" s="2">
        <v>35</v>
      </c>
      <c r="F7" s="2">
        <f t="shared" si="0"/>
        <v>100</v>
      </c>
      <c r="G7" s="15">
        <f t="shared" si="1"/>
        <v>33.333333333333336</v>
      </c>
      <c r="H7" s="2" t="str">
        <f t="shared" si="2"/>
        <v>Fail</v>
      </c>
      <c r="I7" s="2" t="str">
        <f t="shared" si="3"/>
        <v>Fail</v>
      </c>
      <c r="J7" s="15" t="str">
        <f t="shared" si="4"/>
        <v>Fail</v>
      </c>
      <c r="L7">
        <v>100</v>
      </c>
    </row>
    <row r="8" spans="1:12" x14ac:dyDescent="0.3">
      <c r="A8" s="2">
        <v>106</v>
      </c>
      <c r="B8" s="2" t="s">
        <v>116</v>
      </c>
      <c r="C8" s="2">
        <v>75</v>
      </c>
      <c r="D8" s="2">
        <v>80</v>
      </c>
      <c r="E8" s="2">
        <v>75</v>
      </c>
      <c r="F8" s="2">
        <f t="shared" si="0"/>
        <v>230</v>
      </c>
      <c r="G8" s="15">
        <f t="shared" si="1"/>
        <v>76.666666666666671</v>
      </c>
      <c r="H8" s="2" t="str">
        <f t="shared" si="2"/>
        <v>Pass</v>
      </c>
      <c r="I8" s="2" t="str">
        <f t="shared" si="3"/>
        <v>A</v>
      </c>
      <c r="J8" s="15" t="str">
        <f t="shared" si="4"/>
        <v>Outstanding</v>
      </c>
      <c r="L8">
        <v>100</v>
      </c>
    </row>
    <row r="9" spans="1:12" x14ac:dyDescent="0.3">
      <c r="A9" s="2">
        <v>107</v>
      </c>
      <c r="B9" s="2" t="s">
        <v>117</v>
      </c>
      <c r="C9" s="2">
        <v>40</v>
      </c>
      <c r="D9" s="2">
        <v>45</v>
      </c>
      <c r="E9" s="2">
        <v>50</v>
      </c>
      <c r="F9" s="2">
        <f t="shared" si="0"/>
        <v>135</v>
      </c>
      <c r="G9" s="15">
        <f t="shared" si="1"/>
        <v>45</v>
      </c>
      <c r="H9" s="2" t="str">
        <f t="shared" si="2"/>
        <v>Pass</v>
      </c>
      <c r="I9" s="2" t="str">
        <f t="shared" si="3"/>
        <v>Pass</v>
      </c>
      <c r="J9" s="15" t="str">
        <f t="shared" si="4"/>
        <v>Pass</v>
      </c>
      <c r="L9">
        <v>100</v>
      </c>
    </row>
    <row r="10" spans="1:12" x14ac:dyDescent="0.3">
      <c r="A10" s="2">
        <v>108</v>
      </c>
      <c r="B10" s="2" t="s">
        <v>118</v>
      </c>
      <c r="C10" s="2">
        <v>38</v>
      </c>
      <c r="D10" s="2">
        <v>37</v>
      </c>
      <c r="E10" s="2">
        <v>40</v>
      </c>
      <c r="F10" s="2">
        <f t="shared" si="0"/>
        <v>115</v>
      </c>
      <c r="G10" s="15">
        <f t="shared" si="1"/>
        <v>38.333333333333336</v>
      </c>
      <c r="H10" s="2" t="str">
        <f t="shared" si="2"/>
        <v>Pass</v>
      </c>
      <c r="I10" s="2" t="str">
        <f t="shared" si="3"/>
        <v>Pass</v>
      </c>
      <c r="J10" s="15" t="str">
        <f t="shared" si="4"/>
        <v>Pass</v>
      </c>
      <c r="L10">
        <v>100</v>
      </c>
    </row>
    <row r="11" spans="1:12" x14ac:dyDescent="0.3">
      <c r="A11" s="2">
        <v>109</v>
      </c>
      <c r="B11" s="2" t="s">
        <v>119</v>
      </c>
      <c r="C11" s="2">
        <v>59</v>
      </c>
      <c r="D11" s="2">
        <v>60</v>
      </c>
      <c r="E11" s="2">
        <v>70</v>
      </c>
      <c r="F11" s="2">
        <f t="shared" si="0"/>
        <v>189</v>
      </c>
      <c r="G11" s="15">
        <f t="shared" si="1"/>
        <v>63</v>
      </c>
      <c r="H11" s="2" t="str">
        <f t="shared" si="2"/>
        <v>Pass</v>
      </c>
      <c r="I11" s="2" t="str">
        <f t="shared" si="3"/>
        <v>B</v>
      </c>
      <c r="J11" s="15" t="str">
        <f t="shared" si="4"/>
        <v>Excellent</v>
      </c>
      <c r="L11">
        <v>100</v>
      </c>
    </row>
    <row r="12" spans="1:12" x14ac:dyDescent="0.3">
      <c r="A12" s="2">
        <v>110</v>
      </c>
      <c r="B12" s="2" t="s">
        <v>120</v>
      </c>
      <c r="C12" s="2">
        <v>63</v>
      </c>
      <c r="D12" s="2">
        <v>46</v>
      </c>
      <c r="E12" s="2">
        <v>50</v>
      </c>
      <c r="F12" s="2">
        <f t="shared" si="0"/>
        <v>159</v>
      </c>
      <c r="G12" s="15">
        <f t="shared" si="1"/>
        <v>53</v>
      </c>
      <c r="H12" s="2" t="str">
        <f t="shared" si="2"/>
        <v>Pass</v>
      </c>
      <c r="I12" s="2" t="str">
        <f t="shared" si="3"/>
        <v>C</v>
      </c>
      <c r="J12" s="15" t="str">
        <f t="shared" si="4"/>
        <v>Good</v>
      </c>
    </row>
    <row r="13" spans="1:12" x14ac:dyDescent="0.3">
      <c r="L13" s="25" t="s">
        <v>108</v>
      </c>
    </row>
    <row r="14" spans="1:12" x14ac:dyDescent="0.3">
      <c r="A14" s="25" t="s">
        <v>104</v>
      </c>
      <c r="B14" s="25" t="s">
        <v>77</v>
      </c>
      <c r="C14" s="25" t="s">
        <v>105</v>
      </c>
      <c r="D14" s="25" t="s">
        <v>106</v>
      </c>
      <c r="E14" s="25" t="s">
        <v>107</v>
      </c>
      <c r="F14" s="25" t="s">
        <v>47</v>
      </c>
      <c r="G14" s="25" t="s">
        <v>108</v>
      </c>
      <c r="H14" s="25" t="s">
        <v>109</v>
      </c>
      <c r="I14" s="25" t="s">
        <v>110</v>
      </c>
      <c r="J14" s="25" t="s">
        <v>95</v>
      </c>
      <c r="L14" t="str">
        <f>"&gt;60"</f>
        <v>&gt;60</v>
      </c>
    </row>
    <row r="15" spans="1:12" x14ac:dyDescent="0.3">
      <c r="A15" s="2">
        <v>102</v>
      </c>
      <c r="B15" s="2" t="s">
        <v>112</v>
      </c>
      <c r="C15" s="2">
        <v>13</v>
      </c>
      <c r="D15" s="2">
        <v>80</v>
      </c>
      <c r="E15" s="2">
        <v>90</v>
      </c>
      <c r="F15" s="2">
        <v>183</v>
      </c>
      <c r="G15" s="15">
        <v>61</v>
      </c>
      <c r="H15" s="2" t="s">
        <v>136</v>
      </c>
      <c r="I15" s="2" t="s">
        <v>136</v>
      </c>
      <c r="J15" s="15" t="s">
        <v>136</v>
      </c>
    </row>
    <row r="16" spans="1:12" x14ac:dyDescent="0.3">
      <c r="A16" s="2">
        <v>104</v>
      </c>
      <c r="B16" s="2" t="s">
        <v>114</v>
      </c>
      <c r="C16" s="2">
        <v>99</v>
      </c>
      <c r="D16" s="2">
        <v>98</v>
      </c>
      <c r="E16" s="2">
        <v>97</v>
      </c>
      <c r="F16" s="2">
        <v>294</v>
      </c>
      <c r="G16" s="15">
        <v>98</v>
      </c>
      <c r="H16" s="2" t="s">
        <v>137</v>
      </c>
      <c r="I16" s="2" t="s">
        <v>138</v>
      </c>
      <c r="J16" s="15" t="s">
        <v>139</v>
      </c>
    </row>
    <row r="17" spans="1:12" x14ac:dyDescent="0.3">
      <c r="A17" s="2">
        <v>106</v>
      </c>
      <c r="B17" s="2" t="s">
        <v>116</v>
      </c>
      <c r="C17" s="2">
        <v>75</v>
      </c>
      <c r="D17" s="2">
        <v>80</v>
      </c>
      <c r="E17" s="2">
        <v>75</v>
      </c>
      <c r="F17" s="2">
        <v>230</v>
      </c>
      <c r="G17" s="15">
        <v>76.666666666666671</v>
      </c>
      <c r="H17" s="2" t="s">
        <v>137</v>
      </c>
      <c r="I17" s="2" t="s">
        <v>138</v>
      </c>
      <c r="J17" s="15" t="s">
        <v>139</v>
      </c>
    </row>
    <row r="18" spans="1:12" x14ac:dyDescent="0.3">
      <c r="A18" s="2">
        <v>109</v>
      </c>
      <c r="B18" s="2" t="s">
        <v>119</v>
      </c>
      <c r="C18" s="2">
        <v>59</v>
      </c>
      <c r="D18" s="2">
        <v>60</v>
      </c>
      <c r="E18" s="2">
        <v>70</v>
      </c>
      <c r="F18" s="2">
        <v>189</v>
      </c>
      <c r="G18" s="15">
        <v>63</v>
      </c>
      <c r="H18" s="2" t="s">
        <v>137</v>
      </c>
      <c r="I18" s="2" t="s">
        <v>140</v>
      </c>
      <c r="J18" s="15" t="s">
        <v>141</v>
      </c>
    </row>
    <row r="19" spans="1:12" x14ac:dyDescent="0.3">
      <c r="L19" s="25" t="s">
        <v>108</v>
      </c>
    </row>
    <row r="20" spans="1:12" x14ac:dyDescent="0.3">
      <c r="A20" s="25" t="s">
        <v>104</v>
      </c>
      <c r="B20" s="25" t="s">
        <v>77</v>
      </c>
      <c r="C20" s="25" t="s">
        <v>105</v>
      </c>
      <c r="D20" s="25" t="s">
        <v>106</v>
      </c>
      <c r="E20" s="25" t="s">
        <v>107</v>
      </c>
      <c r="F20" s="25" t="s">
        <v>47</v>
      </c>
      <c r="G20" s="25" t="s">
        <v>108</v>
      </c>
      <c r="H20" s="25" t="s">
        <v>109</v>
      </c>
      <c r="I20" s="25" t="s">
        <v>110</v>
      </c>
      <c r="J20" s="25" t="s">
        <v>95</v>
      </c>
      <c r="L20" t="str">
        <f>"&lt;60"</f>
        <v>&lt;60</v>
      </c>
    </row>
    <row r="21" spans="1:12" x14ac:dyDescent="0.3">
      <c r="A21" s="2">
        <v>101</v>
      </c>
      <c r="B21" s="2" t="s">
        <v>111</v>
      </c>
      <c r="C21" s="2">
        <v>25</v>
      </c>
      <c r="D21" s="2">
        <v>16</v>
      </c>
      <c r="E21" s="2">
        <v>35</v>
      </c>
      <c r="F21" s="2">
        <v>76</v>
      </c>
      <c r="G21" s="15">
        <v>25.333333333333332</v>
      </c>
      <c r="H21" s="2" t="s">
        <v>136</v>
      </c>
      <c r="I21" s="2" t="s">
        <v>136</v>
      </c>
      <c r="J21" s="15" t="s">
        <v>136</v>
      </c>
    </row>
    <row r="22" spans="1:12" x14ac:dyDescent="0.3">
      <c r="A22" s="2">
        <v>103</v>
      </c>
      <c r="B22" s="2" t="s">
        <v>113</v>
      </c>
      <c r="C22" s="2">
        <v>50</v>
      </c>
      <c r="D22" s="2">
        <v>55</v>
      </c>
      <c r="E22" s="2">
        <v>60</v>
      </c>
      <c r="F22" s="2">
        <v>165</v>
      </c>
      <c r="G22" s="15">
        <v>55</v>
      </c>
      <c r="H22" s="2" t="s">
        <v>137</v>
      </c>
      <c r="I22" s="2" t="s">
        <v>142</v>
      </c>
      <c r="J22" s="15" t="s">
        <v>143</v>
      </c>
    </row>
    <row r="23" spans="1:12" x14ac:dyDescent="0.3">
      <c r="A23" s="2">
        <v>105</v>
      </c>
      <c r="B23" s="2" t="s">
        <v>115</v>
      </c>
      <c r="C23" s="2">
        <v>45</v>
      </c>
      <c r="D23" s="2">
        <v>20</v>
      </c>
      <c r="E23" s="2">
        <v>35</v>
      </c>
      <c r="F23" s="2">
        <v>100</v>
      </c>
      <c r="G23" s="15">
        <v>33.333333333333336</v>
      </c>
      <c r="H23" s="2" t="s">
        <v>136</v>
      </c>
      <c r="I23" s="2" t="s">
        <v>136</v>
      </c>
      <c r="J23" s="15" t="s">
        <v>136</v>
      </c>
    </row>
    <row r="24" spans="1:12" x14ac:dyDescent="0.3">
      <c r="A24" s="2">
        <v>107</v>
      </c>
      <c r="B24" s="2" t="s">
        <v>117</v>
      </c>
      <c r="C24" s="2">
        <v>40</v>
      </c>
      <c r="D24" s="2">
        <v>45</v>
      </c>
      <c r="E24" s="2">
        <v>50</v>
      </c>
      <c r="F24" s="2">
        <v>135</v>
      </c>
      <c r="G24" s="15">
        <v>45</v>
      </c>
      <c r="H24" s="2" t="s">
        <v>137</v>
      </c>
      <c r="I24" s="2" t="s">
        <v>137</v>
      </c>
      <c r="J24" s="15" t="s">
        <v>137</v>
      </c>
    </row>
    <row r="25" spans="1:12" x14ac:dyDescent="0.3">
      <c r="A25" s="2">
        <v>108</v>
      </c>
      <c r="B25" s="2" t="s">
        <v>118</v>
      </c>
      <c r="C25" s="2">
        <v>38</v>
      </c>
      <c r="D25" s="2">
        <v>37</v>
      </c>
      <c r="E25" s="2">
        <v>40</v>
      </c>
      <c r="F25" s="2">
        <v>115</v>
      </c>
      <c r="G25" s="15">
        <v>38.333333333333336</v>
      </c>
      <c r="H25" s="2" t="s">
        <v>137</v>
      </c>
      <c r="I25" s="2" t="s">
        <v>137</v>
      </c>
      <c r="J25" s="15" t="s">
        <v>137</v>
      </c>
    </row>
    <row r="26" spans="1:12" x14ac:dyDescent="0.3">
      <c r="A26" s="2">
        <v>110</v>
      </c>
      <c r="B26" s="2" t="s">
        <v>120</v>
      </c>
      <c r="C26" s="2">
        <v>63</v>
      </c>
      <c r="D26" s="2">
        <v>46</v>
      </c>
      <c r="E26" s="2">
        <v>50</v>
      </c>
      <c r="F26" s="2">
        <v>159</v>
      </c>
      <c r="G26" s="15">
        <v>53</v>
      </c>
      <c r="H26" s="2" t="s">
        <v>137</v>
      </c>
      <c r="I26" s="2" t="s">
        <v>142</v>
      </c>
      <c r="J26" s="15" t="s">
        <v>143</v>
      </c>
    </row>
  </sheetData>
  <scenarios current="2">
    <scenario name="kle" locked="1" count="11" user="Keonics" comment="Created by Keonics on 29-11-2019_x000a_Modified by Keonics on 29-11-2019">
      <inputCells r="L1" val="89"/>
      <inputCells r="L2" val="69"/>
      <inputCells r="L3" val="58"/>
      <inputCells r="L4" val="78"/>
      <inputCells r="L5" val="54"/>
      <inputCells r="L6" val="78"/>
      <inputCells r="L7" val="69"/>
      <inputCells r="L8" val="100"/>
      <inputCells r="L9" val="100"/>
      <inputCells r="L10" val="100"/>
      <inputCells r="L11" val="100"/>
    </scenario>
    <scenario name="bvb" locked="1" count="11" user="Keonics" comment="Created by Keonics on 29-11-2019">
      <inputCells r="L1" val="89"/>
      <inputCells r="L2" val="54"/>
      <inputCells r="L3" val="96"/>
      <inputCells r="L4" val="89"/>
      <inputCells r="L5" val="78"/>
      <inputCells r="L6" val="58"/>
      <inputCells r="L7" val="96"/>
      <inputCells r="L8" val="89"/>
      <inputCells r="L9" val="100"/>
      <inputCells r="L10" val="100"/>
      <inputCells r="L11" val="100"/>
    </scenario>
    <scenario name="jg" locked="1" count="11" user="Keonics" comment="Created by Keonics on 29-11-2019">
      <inputCells r="L1" val="78"/>
      <inputCells r="L2" val="96"/>
      <inputCells r="L3" val="98"/>
      <inputCells r="L4" val="59"/>
      <inputCells r="L5" val="69"/>
      <inputCells r="L6" val="8"/>
      <inputCells r="L7" val="96"/>
      <inputCells r="L8" val="98"/>
      <inputCells r="L9" val="100"/>
      <inputCells r="L10" val="100"/>
      <inputCells r="L11" val="100"/>
    </scenario>
  </scenarios>
  <customSheetViews>
    <customSheetView guid="{159720CD-1700-4E26-B733-9FDE983FE022}" scale="140">
      <selection activeCell="L1" sqref="L1:L11"/>
      <pageMargins left="0.7" right="0.7" top="0.75" bottom="0.75" header="0.3" footer="0.3"/>
    </customSheetView>
  </customSheetViews>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vt:i4>
      </vt:variant>
    </vt:vector>
  </HeadingPairs>
  <TitlesOfParts>
    <vt:vector size="14" baseType="lpstr">
      <vt:lpstr>A&amp;F</vt:lpstr>
      <vt:lpstr>s&amp;e&amp;p&amp;w</vt:lpstr>
      <vt:lpstr>Product</vt:lpstr>
      <vt:lpstr>CONSOLIDATE</vt:lpstr>
      <vt:lpstr>pivot</vt:lpstr>
      <vt:lpstr>EMP</vt:lpstr>
      <vt:lpstr>E.Details</vt:lpstr>
      <vt:lpstr>Marks</vt:lpstr>
      <vt:lpstr>Scenario Summary</vt:lpstr>
      <vt:lpstr>Student</vt:lpstr>
      <vt:lpstr>Chart1</vt:lpstr>
      <vt:lpstr>Chart2</vt:lpstr>
      <vt:lpstr>Student!Criteria</vt:lpstr>
      <vt:lpstr>Student!Extract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Keonics</dc:creator>
  <cp:lastModifiedBy>Keonics</cp:lastModifiedBy>
  <cp:lastPrinted>2019-11-06T03:18:46Z</cp:lastPrinted>
  <dcterms:created xsi:type="dcterms:W3CDTF">2019-11-06T02:59:58Z</dcterms:created>
  <dcterms:modified xsi:type="dcterms:W3CDTF">2019-12-07T12:40:09Z</dcterms:modified>
</cp:coreProperties>
</file>